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19164" windowHeight="11028" firstSheet="7" activeTab="10"/>
  </bookViews>
  <sheets>
    <sheet name="Платные 1.1; 1.2" sheetId="26" r:id="rId1"/>
    <sheet name="Платные остальное" sheetId="25" r:id="rId2"/>
    <sheet name="Бюджет 1.1; 1.2" sheetId="24" r:id="rId3"/>
    <sheet name="Бюджет остальное" sheetId="23" r:id="rId4"/>
    <sheet name="ОМС 1.1; 1.2" sheetId="12" r:id="rId5"/>
    <sheet name="ОМС остальное" sheetId="1" r:id="rId6"/>
    <sheet name="Выпл.на закупку п.III.I" sheetId="14" r:id="rId7"/>
    <sheet name="4-5 Раздел (Врем.распоряжение)" sheetId="15" r:id="rId8"/>
    <sheet name="Детализированная" sheetId="17" r:id="rId9"/>
    <sheet name="Показ-ли по пост.и выплат пIII" sheetId="22" r:id="rId10"/>
    <sheet name="План ФХД 01.01.19" sheetId="19" r:id="rId11"/>
    <sheet name="Перечень платных услуг" sheetId="18" r:id="rId12"/>
    <sheet name="Лист1" sheetId="27" r:id="rId13"/>
  </sheets>
  <calcPr calcId="125725"/>
</workbook>
</file>

<file path=xl/calcChain.xml><?xml version="1.0" encoding="utf-8"?>
<calcChain xmlns="http://schemas.openxmlformats.org/spreadsheetml/2006/main">
  <c r="G11" i="14"/>
  <c r="L29" i="17"/>
  <c r="F29"/>
  <c r="F20"/>
  <c r="F26"/>
  <c r="K13" i="26"/>
  <c r="K11"/>
  <c r="K15"/>
  <c r="E13"/>
  <c r="F150" i="25"/>
  <c r="F149"/>
  <c r="F147"/>
  <c r="F142"/>
  <c r="F141"/>
  <c r="F144"/>
  <c r="F140"/>
  <c r="F148"/>
  <c r="E126"/>
  <c r="F106"/>
  <c r="F115"/>
  <c r="G85"/>
  <c r="G82"/>
  <c r="G79"/>
  <c r="G76"/>
  <c r="E84"/>
  <c r="D84"/>
  <c r="E81"/>
  <c r="D81"/>
  <c r="E78"/>
  <c r="D78"/>
  <c r="E5"/>
  <c r="E14"/>
  <c r="F198" i="1"/>
  <c r="F207"/>
  <c r="F201"/>
  <c r="E182"/>
  <c r="E179"/>
  <c r="E178"/>
  <c r="F167"/>
  <c r="F165"/>
  <c r="F144"/>
  <c r="F143"/>
  <c r="F166"/>
  <c r="F169"/>
  <c r="F146"/>
  <c r="F148"/>
  <c r="E117"/>
  <c r="D117"/>
  <c r="E123"/>
  <c r="D123"/>
  <c r="E120"/>
  <c r="D120"/>
  <c r="G118"/>
  <c r="G117" s="1"/>
  <c r="G115"/>
  <c r="D75"/>
  <c r="E39"/>
  <c r="E43"/>
  <c r="D40"/>
  <c r="F200" i="23"/>
  <c r="E173"/>
  <c r="E179"/>
  <c r="D105"/>
  <c r="E111"/>
  <c r="E110" s="1"/>
  <c r="E108"/>
  <c r="D110"/>
  <c r="E107"/>
  <c r="D107"/>
  <c r="G102"/>
  <c r="K58" i="12"/>
  <c r="K56"/>
  <c r="K53"/>
  <c r="K51"/>
  <c r="E56"/>
  <c r="E53"/>
  <c r="J16" i="24"/>
  <c r="J13"/>
  <c r="E28" i="23"/>
  <c r="F37" i="24"/>
  <c r="F36"/>
  <c r="I11" i="14"/>
  <c r="L26" i="17"/>
  <c r="L25"/>
  <c r="E29"/>
  <c r="E26"/>
  <c r="E21"/>
  <c r="E20"/>
  <c r="E18"/>
  <c r="H11" i="14"/>
  <c r="I10"/>
  <c r="H10"/>
  <c r="I33" i="22"/>
  <c r="I17"/>
  <c r="I14"/>
  <c r="E37"/>
  <c r="E27"/>
  <c r="E15"/>
  <c r="E14"/>
  <c r="D6" i="15"/>
  <c r="D8"/>
  <c r="L9" i="17"/>
  <c r="P20"/>
  <c r="P18"/>
  <c r="P15"/>
  <c r="L21"/>
  <c r="L20"/>
  <c r="L15"/>
  <c r="L13"/>
  <c r="K29"/>
  <c r="K26"/>
  <c r="K19"/>
  <c r="E13" l="1"/>
  <c r="L18"/>
  <c r="P29"/>
  <c r="P26"/>
  <c r="P25"/>
  <c r="P16"/>
  <c r="P14"/>
  <c r="P13" l="1"/>
  <c r="R29" l="1"/>
  <c r="R26"/>
  <c r="R15"/>
  <c r="R13"/>
  <c r="L7"/>
  <c r="R9"/>
  <c r="R7"/>
  <c r="E181" i="1" l="1"/>
  <c r="F75"/>
  <c r="D104" i="23"/>
  <c r="F113" i="25"/>
  <c r="F114"/>
  <c r="F110"/>
  <c r="G78"/>
  <c r="I151" i="19"/>
  <c r="I104"/>
  <c r="G105" i="23" l="1"/>
  <c r="G104" s="1"/>
  <c r="K37" i="22"/>
  <c r="L16" i="17"/>
  <c r="F38" i="24"/>
  <c r="E37" i="23" l="1"/>
  <c r="E34"/>
  <c r="E32"/>
  <c r="E29"/>
  <c r="E11" i="25" l="1"/>
  <c r="E9"/>
  <c r="E6"/>
  <c r="F74" i="1"/>
  <c r="D71"/>
  <c r="D66"/>
  <c r="D67"/>
  <c r="F67" s="1"/>
  <c r="F79"/>
  <c r="F193"/>
  <c r="E48"/>
  <c r="E40"/>
  <c r="E45"/>
  <c r="E42" s="1"/>
  <c r="K30" i="22"/>
  <c r="E124" i="25" l="1"/>
  <c r="E133" s="1"/>
  <c r="F112"/>
  <c r="F94"/>
  <c r="G84"/>
  <c r="G81"/>
  <c r="G56"/>
  <c r="G55"/>
  <c r="G54"/>
  <c r="G53"/>
  <c r="G52"/>
  <c r="G51"/>
  <c r="F28"/>
  <c r="E8"/>
  <c r="E4"/>
  <c r="H36" i="26"/>
  <c r="H35"/>
  <c r="H34"/>
  <c r="E17"/>
  <c r="D17"/>
  <c r="E15"/>
  <c r="K18"/>
  <c r="E11"/>
  <c r="F208" i="23"/>
  <c r="E169"/>
  <c r="E181" s="1"/>
  <c r="F137"/>
  <c r="G111"/>
  <c r="G110" s="1"/>
  <c r="G108"/>
  <c r="G107" s="1"/>
  <c r="G84"/>
  <c r="G83"/>
  <c r="G82"/>
  <c r="G81"/>
  <c r="G80"/>
  <c r="G79"/>
  <c r="F60"/>
  <c r="D54"/>
  <c r="D53"/>
  <c r="D52"/>
  <c r="D51"/>
  <c r="F50"/>
  <c r="E31"/>
  <c r="E27"/>
  <c r="G5"/>
  <c r="G4"/>
  <c r="F40" i="24"/>
  <c r="D20"/>
  <c r="C20"/>
  <c r="J20" s="1"/>
  <c r="D18"/>
  <c r="J18" s="1"/>
  <c r="D16"/>
  <c r="D13"/>
  <c r="D11"/>
  <c r="J11" s="1"/>
  <c r="H38" i="26" l="1"/>
  <c r="F151" i="25"/>
  <c r="E15"/>
  <c r="G62"/>
  <c r="F117"/>
  <c r="G8" i="23"/>
  <c r="E38"/>
  <c r="F65"/>
  <c r="G90"/>
  <c r="F145"/>
  <c r="J21" i="24"/>
  <c r="G87" i="25" l="1"/>
  <c r="G113" i="23"/>
  <c r="F212" i="1" l="1"/>
  <c r="E180"/>
  <c r="F168"/>
  <c r="F149"/>
  <c r="G124"/>
  <c r="G123" s="1"/>
  <c r="G121"/>
  <c r="G120" s="1"/>
  <c r="G105"/>
  <c r="G104"/>
  <c r="G103"/>
  <c r="G102"/>
  <c r="G101"/>
  <c r="G100"/>
  <c r="F78"/>
  <c r="F77"/>
  <c r="F73"/>
  <c r="F72"/>
  <c r="F71"/>
  <c r="F70"/>
  <c r="D69"/>
  <c r="F69" s="1"/>
  <c r="D68"/>
  <c r="F68" s="1"/>
  <c r="F66"/>
  <c r="D65"/>
  <c r="F65" s="1"/>
  <c r="G6"/>
  <c r="G9" s="1"/>
  <c r="G80" i="12"/>
  <c r="G79"/>
  <c r="G78"/>
  <c r="F64" i="1" l="1"/>
  <c r="G106"/>
  <c r="F170"/>
  <c r="F76"/>
  <c r="E177"/>
  <c r="E185" s="1"/>
  <c r="G82" i="12"/>
  <c r="K14" i="22"/>
  <c r="F81" i="1" l="1"/>
  <c r="G126"/>
  <c r="I26" i="22" l="1"/>
  <c r="H15" i="17"/>
  <c r="H8"/>
  <c r="C8" s="1"/>
  <c r="E11" i="14" l="1"/>
  <c r="F11"/>
  <c r="E10"/>
  <c r="F10"/>
  <c r="D23" i="22"/>
  <c r="K22"/>
  <c r="D22" s="1"/>
  <c r="D31"/>
  <c r="D32"/>
  <c r="D33"/>
  <c r="J26"/>
  <c r="J25" s="1"/>
  <c r="K13" l="1"/>
  <c r="K15" s="1"/>
  <c r="D15" s="1"/>
  <c r="J24"/>
  <c r="E26"/>
  <c r="I27"/>
  <c r="K27"/>
  <c r="D17"/>
  <c r="D16"/>
  <c r="D14"/>
  <c r="I44"/>
  <c r="H44"/>
  <c r="E44"/>
  <c r="I30"/>
  <c r="K26"/>
  <c r="I37"/>
  <c r="E25" l="1"/>
  <c r="D26"/>
  <c r="D30"/>
  <c r="K25"/>
  <c r="D27"/>
  <c r="I25"/>
  <c r="I24" s="1"/>
  <c r="D11" i="14"/>
  <c r="D10"/>
  <c r="I102" i="19"/>
  <c r="I100" s="1"/>
  <c r="I90"/>
  <c r="I88" s="1"/>
  <c r="H31" i="17"/>
  <c r="D31"/>
  <c r="C31"/>
  <c r="H30"/>
  <c r="D30"/>
  <c r="C30" s="1"/>
  <c r="H29"/>
  <c r="D29"/>
  <c r="H28"/>
  <c r="D28"/>
  <c r="H27"/>
  <c r="D27"/>
  <c r="C27" s="1"/>
  <c r="D26"/>
  <c r="H25"/>
  <c r="D25"/>
  <c r="H24"/>
  <c r="D24"/>
  <c r="H23"/>
  <c r="D23"/>
  <c r="H22"/>
  <c r="D22"/>
  <c r="C22"/>
  <c r="H21"/>
  <c r="D21"/>
  <c r="H20"/>
  <c r="D20"/>
  <c r="H19"/>
  <c r="D19"/>
  <c r="H18"/>
  <c r="D18"/>
  <c r="H17"/>
  <c r="E17"/>
  <c r="H16"/>
  <c r="D16"/>
  <c r="D15"/>
  <c r="H14"/>
  <c r="D14"/>
  <c r="H13"/>
  <c r="D13"/>
  <c r="H12"/>
  <c r="T11"/>
  <c r="S11"/>
  <c r="Q11"/>
  <c r="P11"/>
  <c r="P9" s="1"/>
  <c r="O11"/>
  <c r="O9" s="1"/>
  <c r="O10" s="1"/>
  <c r="N11"/>
  <c r="N9" s="1"/>
  <c r="M11"/>
  <c r="L11"/>
  <c r="K11"/>
  <c r="K9" s="1"/>
  <c r="J11"/>
  <c r="I11"/>
  <c r="I9" s="1"/>
  <c r="G11"/>
  <c r="G9" s="1"/>
  <c r="F11"/>
  <c r="D10"/>
  <c r="T9"/>
  <c r="T10" s="1"/>
  <c r="S9"/>
  <c r="S10" s="1"/>
  <c r="M9"/>
  <c r="M10" s="1"/>
  <c r="J9"/>
  <c r="J10" s="1"/>
  <c r="H7"/>
  <c r="D7"/>
  <c r="E9" i="14"/>
  <c r="F9"/>
  <c r="G9"/>
  <c r="H9"/>
  <c r="I9"/>
  <c r="E60" i="12"/>
  <c r="D60"/>
  <c r="K60" s="1"/>
  <c r="D36"/>
  <c r="F33"/>
  <c r="H33"/>
  <c r="J32"/>
  <c r="I32"/>
  <c r="J31"/>
  <c r="J33" s="1"/>
  <c r="I31"/>
  <c r="I33" s="1"/>
  <c r="G30"/>
  <c r="G33" s="1"/>
  <c r="F27"/>
  <c r="H27"/>
  <c r="J26"/>
  <c r="J27" s="1"/>
  <c r="I26"/>
  <c r="I27" s="1"/>
  <c r="G25"/>
  <c r="G27" s="1"/>
  <c r="F22"/>
  <c r="H22"/>
  <c r="J21"/>
  <c r="I21"/>
  <c r="J20"/>
  <c r="J22" s="1"/>
  <c r="I20"/>
  <c r="H15"/>
  <c r="J15" s="1"/>
  <c r="F16"/>
  <c r="J14"/>
  <c r="I14"/>
  <c r="G13"/>
  <c r="G16" s="1"/>
  <c r="G19"/>
  <c r="G22" s="1"/>
  <c r="H37" i="22" l="1"/>
  <c r="H24" s="1"/>
  <c r="F9" i="17"/>
  <c r="C18"/>
  <c r="I15" i="12"/>
  <c r="H16"/>
  <c r="E58"/>
  <c r="C20" i="17"/>
  <c r="C13"/>
  <c r="C21"/>
  <c r="D25" i="22"/>
  <c r="K10" i="17"/>
  <c r="K11" i="22"/>
  <c r="D17" i="17"/>
  <c r="C17" s="1"/>
  <c r="C7"/>
  <c r="K44" i="22"/>
  <c r="D44" s="1"/>
  <c r="H9" i="17"/>
  <c r="I13" i="22"/>
  <c r="I9" s="1"/>
  <c r="I45" s="1"/>
  <c r="R11" i="17"/>
  <c r="C24"/>
  <c r="C25"/>
  <c r="H26"/>
  <c r="H11" s="1"/>
  <c r="K24" i="22"/>
  <c r="C29" i="17"/>
  <c r="H20" i="22"/>
  <c r="D9" i="14"/>
  <c r="C15" i="17"/>
  <c r="C23"/>
  <c r="C28"/>
  <c r="I22" i="12"/>
  <c r="I132" i="19"/>
  <c r="C16" i="17"/>
  <c r="C14"/>
  <c r="C19"/>
  <c r="N10"/>
  <c r="E11"/>
  <c r="E51" i="12"/>
  <c r="K22"/>
  <c r="K27"/>
  <c r="K33"/>
  <c r="J16"/>
  <c r="I16"/>
  <c r="K61" l="1"/>
  <c r="K10" i="22"/>
  <c r="D11"/>
  <c r="D37"/>
  <c r="E24"/>
  <c r="D24" s="1"/>
  <c r="D20"/>
  <c r="H9"/>
  <c r="H45" s="1"/>
  <c r="C26" i="17"/>
  <c r="K16" i="12"/>
  <c r="K37" s="1"/>
  <c r="L37" s="1"/>
  <c r="I17" s="1"/>
  <c r="E9" i="17"/>
  <c r="E13" i="22" s="1"/>
  <c r="D11" i="17"/>
  <c r="C11" s="1"/>
  <c r="H17" i="12"/>
  <c r="J28"/>
  <c r="G23"/>
  <c r="F34"/>
  <c r="H23"/>
  <c r="F17"/>
  <c r="J23" l="1"/>
  <c r="H34"/>
  <c r="I23"/>
  <c r="G34"/>
  <c r="J17"/>
  <c r="G28"/>
  <c r="J34"/>
  <c r="F28"/>
  <c r="I34"/>
  <c r="F23"/>
  <c r="I28"/>
  <c r="G17"/>
  <c r="H28"/>
  <c r="H36" s="1"/>
  <c r="K9" i="22"/>
  <c r="K45" s="1"/>
  <c r="D10"/>
  <c r="E9"/>
  <c r="D13"/>
  <c r="D9" i="17"/>
  <c r="C9" s="1"/>
  <c r="F36" i="12"/>
  <c r="K17"/>
  <c r="J36"/>
  <c r="G36"/>
  <c r="I36"/>
  <c r="K28"/>
  <c r="K23"/>
  <c r="K34"/>
  <c r="D9" i="22" l="1"/>
  <c r="E45"/>
  <c r="D45" s="1"/>
  <c r="K36" i="12"/>
  <c r="E38" i="1"/>
  <c r="E49" l="1"/>
  <c r="K40" i="12" l="1"/>
</calcChain>
</file>

<file path=xl/sharedStrings.xml><?xml version="1.0" encoding="utf-8"?>
<sst xmlns="http://schemas.openxmlformats.org/spreadsheetml/2006/main" count="2318" uniqueCount="1553">
  <si>
    <t>Наименование государственного внебюджетного фонда</t>
  </si>
  <si>
    <t>Сумма взноса, руб.</t>
  </si>
  <si>
    <t>№ п/п</t>
  </si>
  <si>
    <t>Размер базы для начисления страховых взносов, руб</t>
  </si>
  <si>
    <t>Страховые взносы в Пенсионный фонд Российской Федерации, всего</t>
  </si>
  <si>
    <t>х</t>
  </si>
  <si>
    <t>1.1.</t>
  </si>
  <si>
    <t>в том числе:                                                                               по ставке 22,0%</t>
  </si>
  <si>
    <t>по ставке 10,0%</t>
  </si>
  <si>
    <t>1.2</t>
  </si>
  <si>
    <t>1.3</t>
  </si>
  <si>
    <t>с применением пониженных тарифов взносов в Пенсионный фонд Российской Федерации для отдельных категорий плательщиков</t>
  </si>
  <si>
    <t>2</t>
  </si>
  <si>
    <t>Страховые взносы в Фонд социального страхования Российской Федерации, всего</t>
  </si>
  <si>
    <t>2.1</t>
  </si>
  <si>
    <t>в том числе:                                                                               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</si>
  <si>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</si>
  <si>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</si>
  <si>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</si>
  <si>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2.4</t>
  </si>
  <si>
    <t>обязательное социальное страхование от несчастных случаев на производстве и профессиональных заболеваний по ставке 0,_%*</t>
  </si>
  <si>
    <t>*</t>
  </si>
  <si>
    <t xml:space="preserve">Указываются   страховые  тарифы,  дифференцированные  по  классам  профессионального  риска,  установленные  Федеральным законом от 22 декабря 2005   г.    N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N 52, ст. 5592; 2015, N 51, ст. 7233).
</t>
  </si>
  <si>
    <t>2.5</t>
  </si>
  <si>
    <t>3</t>
  </si>
  <si>
    <t>ИТОГО</t>
  </si>
  <si>
    <t>ИТОГО:</t>
  </si>
  <si>
    <t>3. Расчет (обоснование) расходов на уплату налогов, сборов и иных платежей</t>
  </si>
  <si>
    <t>Код видов расходов</t>
  </si>
  <si>
    <t>Источник финансового обеспечения</t>
  </si>
  <si>
    <t>Наименование расходов</t>
  </si>
  <si>
    <t>Ставка налога , %</t>
  </si>
  <si>
    <t>Сумма исчисленного налога, подлежащего уплате, руб. (гр.3хгр.4/100)</t>
  </si>
  <si>
    <t>Земельный налог</t>
  </si>
  <si>
    <t xml:space="preserve">Наименование расходов </t>
  </si>
  <si>
    <t>Количество договоров</t>
  </si>
  <si>
    <t>Стоимость услуги, руб.</t>
  </si>
  <si>
    <t>Услуги спецтехники</t>
  </si>
  <si>
    <t>Оказание метрологических услуг</t>
  </si>
  <si>
    <t>Обслуживание тепловых счетчиков</t>
  </si>
  <si>
    <t xml:space="preserve">6.5. Расчет (обоснование) расходов на оплату работ, услуг по содержанию имущества </t>
  </si>
  <si>
    <t>6.4. Расчет (обоснование) расходов на аренду имущества</t>
  </si>
  <si>
    <t>Наименование показателя</t>
  </si>
  <si>
    <t>количество</t>
  </si>
  <si>
    <t>Стоимость с учетом НДС, руб.</t>
  </si>
  <si>
    <t>Аренда медицинского оборудования</t>
  </si>
  <si>
    <t>Ремонт и техническое обслуживание холодильного и вентиляционного оборудования</t>
  </si>
  <si>
    <t xml:space="preserve">Техническое обслуживание автомобилей </t>
  </si>
  <si>
    <t>6.6. Расчет (обоснование) расходов на оплату прочих работ, услуг</t>
  </si>
  <si>
    <t>Объект</t>
  </si>
  <si>
    <t>Количество работ (услуг)</t>
  </si>
  <si>
    <t>Стоимость работ (услуг), руб.</t>
  </si>
  <si>
    <t>Специальная оценка условий труда</t>
  </si>
  <si>
    <t>Количество</t>
  </si>
  <si>
    <t>Средняя стоимость, руб.</t>
  </si>
  <si>
    <t>Сумма, руб (гр.2хгр.3)</t>
  </si>
  <si>
    <t>6.7. Расчет (обоснование) расходов на приобретение основных средств, материальных запасов</t>
  </si>
  <si>
    <t>Поставка рентгенпленки</t>
  </si>
  <si>
    <t>Ставка арендной платы (руб)</t>
  </si>
  <si>
    <t>851; 852</t>
  </si>
  <si>
    <t>1.4</t>
  </si>
  <si>
    <t>1.5</t>
  </si>
  <si>
    <t>Марка транспортного средства  ФОРД (1 единица)</t>
  </si>
  <si>
    <t>Марка транспортного средства  Фиат Дукато                 (1 единица)</t>
  </si>
  <si>
    <t>Марка транспортного средства  Тойота "Ленд Крузер" (1 единица)</t>
  </si>
  <si>
    <t>Марка транспортного средства  ГАЗ (3 единицы)</t>
  </si>
  <si>
    <t>Марка транспортного средства  ГАЗ (1 единицы)</t>
  </si>
  <si>
    <t>1.6</t>
  </si>
  <si>
    <t>1.7</t>
  </si>
  <si>
    <t>1.8</t>
  </si>
  <si>
    <t>Марка транспортного средства  УАЗ (4 единицы)</t>
  </si>
  <si>
    <t>Марка транспортного средства  УАЗ (12 единиц)</t>
  </si>
  <si>
    <t>Транспортный налог всего:</t>
  </si>
  <si>
    <t>Налог на имущество всего:</t>
  </si>
  <si>
    <t>3.1</t>
  </si>
  <si>
    <t>3.2</t>
  </si>
  <si>
    <t>по ставке 0,1%</t>
  </si>
  <si>
    <t>по ставке 2,2%</t>
  </si>
  <si>
    <t>обязательное социальное страхование от несчастных случаев на производстве и профессиональных заболеваний по ставке 0,25%</t>
  </si>
  <si>
    <t>Утилизация отходов класса "Г", "Б"</t>
  </si>
  <si>
    <t>4</t>
  </si>
  <si>
    <t>5</t>
  </si>
  <si>
    <t xml:space="preserve">Плата за негативное воздействие на окружающую среду </t>
  </si>
  <si>
    <t>Налоговая база (мощность автомобиля; рублей; тонн в год)</t>
  </si>
  <si>
    <t xml:space="preserve">Госпошлина за регистрацию (постановку на учет) автомобиля </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</si>
  <si>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</si>
  <si>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</si>
  <si>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</si>
  <si>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</si>
  <si>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</si>
  <si>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</si>
  <si>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6.3. Расчет (обоснование) расходов на оплату коммунальных услуг</t>
  </si>
  <si>
    <t>Наименование показятеля</t>
  </si>
  <si>
    <t>Размер потребления ресурсов</t>
  </si>
  <si>
    <t>Индексация, %</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</si>
  <si>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</si>
  <si>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</si>
  <si>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</si>
  <si>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1.5 лет</t>
  </si>
  <si>
    <t>Пособие по уходу за ребенком до 3 лет</t>
  </si>
  <si>
    <t>Страховые взносы в Федеральный фонд обязательного медицинского страхования, всего (по ставке 5,1%)</t>
  </si>
  <si>
    <t>1.2 Расчеты (обоснования) выплат персоналу при направлении в служебные командировки</t>
  </si>
  <si>
    <t>Средний размер выплаты на одного работника в день, руб.</t>
  </si>
  <si>
    <t>Количество работников, чел.</t>
  </si>
  <si>
    <t>Количество дней</t>
  </si>
  <si>
    <t xml:space="preserve">Расходы по проезду </t>
  </si>
  <si>
    <t>Расходы на проживание</t>
  </si>
  <si>
    <t xml:space="preserve">Суточные </t>
  </si>
  <si>
    <t>1. Расчеты (обоснования) выплат персоналу (строка 210)</t>
  </si>
  <si>
    <t>1.1. Расчеты (обоснования) расходов на оплату труда</t>
  </si>
  <si>
    <t>Должность, группа должностей</t>
  </si>
  <si>
    <t>Установленная численность, единиц</t>
  </si>
  <si>
    <t>Среднемесячный размер оплаты труда на одного работника, руб.</t>
  </si>
  <si>
    <t>Районный коэффициент</t>
  </si>
  <si>
    <t>всего</t>
  </si>
  <si>
    <t>в том числе:</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</si>
  <si>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</si>
  <si>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</si>
  <si>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</si>
  <si>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</si>
  <si>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Фонд оплаты труда в год, руб. (гр.3 х гр.4 х (1+гр.8/100)х гр.9 х 12)</t>
  </si>
  <si>
    <t>Итого</t>
  </si>
  <si>
    <t>Абонентская плата</t>
  </si>
  <si>
    <t>12</t>
  </si>
  <si>
    <t xml:space="preserve">Предоставление внутризоновых соединений </t>
  </si>
  <si>
    <t>Абонентская плата за порт DSL</t>
  </si>
  <si>
    <t>6</t>
  </si>
  <si>
    <t>-</t>
  </si>
  <si>
    <t>Предоставление местного телеф.соединения (безлимитный)</t>
  </si>
  <si>
    <t>1</t>
  </si>
  <si>
    <t>Услуги спец.связи</t>
  </si>
  <si>
    <t>Почтовые расходы, подписка журналы, газета</t>
  </si>
  <si>
    <t>Электроснабжение (тыс.квт/час)</t>
  </si>
  <si>
    <t>Водоотведение (м3)</t>
  </si>
  <si>
    <t>Водоснабжение (м3)</t>
  </si>
  <si>
    <t>Теплоснабжение (Гкалорий):</t>
  </si>
  <si>
    <t>МУП "Теплоэнерго Черниговское"</t>
  </si>
  <si>
    <t>Тариф                 (с учетом НДС), руб</t>
  </si>
  <si>
    <t>КГУП "Примтеплоэнерго"</t>
  </si>
  <si>
    <t xml:space="preserve">1.3 Расчеты (обоснования) выплат персоналу по уходу за ребенком
</t>
  </si>
  <si>
    <t>Текущий ремонт зданий:</t>
  </si>
  <si>
    <t>Дневной стационар при поликлинике с.Черниговка</t>
  </si>
  <si>
    <t>Поликлиника с.Черниговка</t>
  </si>
  <si>
    <t>7.1</t>
  </si>
  <si>
    <t>7.2</t>
  </si>
  <si>
    <t>7.3</t>
  </si>
  <si>
    <t>7.4</t>
  </si>
  <si>
    <t>7.5</t>
  </si>
  <si>
    <t>7.6</t>
  </si>
  <si>
    <t>Отделение СМП с.Черниговка</t>
  </si>
  <si>
    <t>ЦСО с.Черниговка</t>
  </si>
  <si>
    <t>7.7</t>
  </si>
  <si>
    <t>Кабинет физио процедур</t>
  </si>
  <si>
    <t>7.8</t>
  </si>
  <si>
    <t>Терапевтическое отделение круглосуточного стационара ЦРБ</t>
  </si>
  <si>
    <t>Педиатрическое отделение стационара ЦРБ</t>
  </si>
  <si>
    <t>Отделение реанимации и интенсивной терапии ЦРБ</t>
  </si>
  <si>
    <t>7.9</t>
  </si>
  <si>
    <t>Хирургическое отделение круглосуточного стационара ЦРБ, операционный блок</t>
  </si>
  <si>
    <t>7.10</t>
  </si>
  <si>
    <t>7.11</t>
  </si>
  <si>
    <t>Акушерско-гинекологическое отделение ЦРБ</t>
  </si>
  <si>
    <t>ФАП с.Дмитриевка</t>
  </si>
  <si>
    <t>7.12</t>
  </si>
  <si>
    <t>Амбулатория п.Реттиховка</t>
  </si>
  <si>
    <t>7.13</t>
  </si>
  <si>
    <t>Поликлиника № 1 п.Сибирцево</t>
  </si>
  <si>
    <t>7.14</t>
  </si>
  <si>
    <t>Отделение СМП п.Сибирцево</t>
  </si>
  <si>
    <t>7.15</t>
  </si>
  <si>
    <t>Пищеблок ЦРБ</t>
  </si>
  <si>
    <t>Информационно технологическое сопровождение программ:</t>
  </si>
  <si>
    <t>ПК МИАЦ</t>
  </si>
  <si>
    <t>БЭСТ-ДВ</t>
  </si>
  <si>
    <t>1 С бухгалтерия</t>
  </si>
  <si>
    <t>ДОКА+</t>
  </si>
  <si>
    <t>ИСТОК СМП</t>
  </si>
  <si>
    <t>2.6</t>
  </si>
  <si>
    <t>ГЛОНАСС</t>
  </si>
  <si>
    <t>2.7</t>
  </si>
  <si>
    <t>ИТС 1 С</t>
  </si>
  <si>
    <t>2.8</t>
  </si>
  <si>
    <t>Антивирус</t>
  </si>
  <si>
    <t>8</t>
  </si>
  <si>
    <t>Дератизация помещений</t>
  </si>
  <si>
    <t>9</t>
  </si>
  <si>
    <t>Вывоз ТБО</t>
  </si>
  <si>
    <t>Охрана объектов, тревожная сигнализация</t>
  </si>
  <si>
    <t xml:space="preserve">Обязательное страхование гражданской ответственности владельцев автотранспортных средств </t>
  </si>
  <si>
    <t>Приобретение бланочной продукции</t>
  </si>
  <si>
    <t>Санитарно-гигиенические исседования</t>
  </si>
  <si>
    <t>10</t>
  </si>
  <si>
    <t xml:space="preserve">Техническое обслуживание системы пожарной сигнализации </t>
  </si>
  <si>
    <t>11</t>
  </si>
  <si>
    <t>Техническое обслуживание лифтов</t>
  </si>
  <si>
    <t>Техническое обслуживание оборудования</t>
  </si>
  <si>
    <t>Черниговская ЦРБ</t>
  </si>
  <si>
    <t>ОМС</t>
  </si>
  <si>
    <t>Врачебный персонал</t>
  </si>
  <si>
    <t>Средний медперсонал</t>
  </si>
  <si>
    <t>итого</t>
  </si>
  <si>
    <t>Младший медперсонал</t>
  </si>
  <si>
    <t>Прочий персонал</t>
  </si>
  <si>
    <t>с коэф</t>
  </si>
  <si>
    <t>55</t>
  </si>
  <si>
    <t>Код строки</t>
  </si>
  <si>
    <t>Код бюджетной классификации Российской Федерации</t>
  </si>
  <si>
    <t>Объем финансового обеспечения, руб. (с точностью до двух знаков после запятой - 0,00)</t>
  </si>
  <si>
    <t>в том числе</t>
  </si>
  <si>
    <t xml:space="preserve">субсидии на финансовое обеспечение выполнения государ-
ственного задания из федерально-го бюджета, бюджета субъекта Российской Федерации (местного бюджета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</si>
  <si>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</si>
  <si>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</si>
  <si>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</si>
  <si>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</si>
  <si>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5.1</t>
  </si>
  <si>
    <t>Поступления от доходов всего:</t>
  </si>
  <si>
    <t>в том числе: доходы от собственности</t>
  </si>
  <si>
    <t>из них:                                       от аренды активов</t>
  </si>
  <si>
    <t>иные поступления от собственности</t>
  </si>
  <si>
    <t>доходы от оказания работ, услуг</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</si>
  <si>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</si>
  <si>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</si>
  <si>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</si>
  <si>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 xml:space="preserve">прочие доходы </t>
  </si>
  <si>
    <t>Выплаты по расходам, всего:</t>
  </si>
  <si>
    <t>в том числе на: выплаты персоналу всего:</t>
  </si>
  <si>
    <t xml:space="preserve">из них:
оплата труда и начисления на выплаты по оплате труда
</t>
  </si>
  <si>
    <t>социальные и иные выплаты населению, всего</t>
  </si>
  <si>
    <t>из них:</t>
  </si>
  <si>
    <t>уплату налогов, сборов и иных платежей, всего</t>
  </si>
  <si>
    <t>прочие расходы (кроме расходов на закупку товаров, работ, услуг)</t>
  </si>
  <si>
    <t>расходы на закупку товаров, работ, услуг, всего</t>
  </si>
  <si>
    <t>Поступление финансовых активов, всего:</t>
  </si>
  <si>
    <t xml:space="preserve">из них:
увеличение остатков средств
</t>
  </si>
  <si>
    <t>прочие поступления</t>
  </si>
  <si>
    <t>Выбытие финансовых активов, всего</t>
  </si>
  <si>
    <t xml:space="preserve">из них:
уменьшение остатков средств
</t>
  </si>
  <si>
    <t>прочие выбытия</t>
  </si>
  <si>
    <t>Остаток средств на начало года</t>
  </si>
  <si>
    <t>Остаток средств на конец года</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</si>
  <si>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</si>
  <si>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</si>
  <si>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</si>
  <si>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</si>
  <si>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</si>
  <si>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</si>
  <si>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</si>
  <si>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на закупку товаров работ, услуг по году начала закупки</t>
  </si>
  <si>
    <t>2001</t>
  </si>
  <si>
    <t>(очередной финансовый год)</t>
  </si>
  <si>
    <t>Сумма (руб., с точностью до двух знаков после запятой - 0,00)</t>
  </si>
  <si>
    <t>Поступление</t>
  </si>
  <si>
    <t>Выбытие</t>
  </si>
  <si>
    <t>010</t>
  </si>
  <si>
    <t>020</t>
  </si>
  <si>
    <t>030</t>
  </si>
  <si>
    <t>040</t>
  </si>
  <si>
    <t>тел.  8-42-351-23-6-02</t>
  </si>
  <si>
    <t xml:space="preserve">(уполномоченное лицо)                                                     </t>
  </si>
  <si>
    <t xml:space="preserve">Руководитель </t>
  </si>
  <si>
    <t>краевого государственного бюджетного учреждения</t>
  </si>
  <si>
    <t>(подпись, расшифровка подписи)</t>
  </si>
  <si>
    <t>Руководитель финансово-экономической службы</t>
  </si>
  <si>
    <t>______________ А.А. Скрыпник</t>
  </si>
  <si>
    <t xml:space="preserve">           (уполномоченное лицо)</t>
  </si>
  <si>
    <t xml:space="preserve">                                                                                                                                                                                                     (подпись) (расшифровка подписи)</t>
  </si>
  <si>
    <t>Краевое государственное бюджетное учреждение здравоохранения "Черниговская центральная районная больница"</t>
  </si>
  <si>
    <t xml:space="preserve">наименование учреждения </t>
  </si>
  <si>
    <t xml:space="preserve">руб. </t>
  </si>
  <si>
    <t xml:space="preserve">Наименование показателя </t>
  </si>
  <si>
    <t xml:space="preserve">КОСГУ </t>
  </si>
  <si>
    <t xml:space="preserve">Всего  </t>
  </si>
  <si>
    <t xml:space="preserve">Средства бюджета </t>
  </si>
  <si>
    <t xml:space="preserve">Средства от  приносящей доход деятельности </t>
  </si>
  <si>
    <t>Субсидии на выполнение гос. задания</t>
  </si>
  <si>
    <t xml:space="preserve">Субсидии на иные цели </t>
  </si>
  <si>
    <t>Бюджетные инвестиции</t>
  </si>
  <si>
    <t>приоритетный нац.проект    "Здоровье"</t>
  </si>
  <si>
    <t xml:space="preserve">доходы от реализации ценных бумаг </t>
  </si>
  <si>
    <t xml:space="preserve">доходы от сдачи имущества  в аренду </t>
  </si>
  <si>
    <t xml:space="preserve">доходы от оказания платных услуг </t>
  </si>
  <si>
    <t xml:space="preserve"> доходы от продажи товаров </t>
  </si>
  <si>
    <t xml:space="preserve"> гранты, добровольные пожертвования</t>
  </si>
  <si>
    <t xml:space="preserve">средства ТФОМС  на осуществление внедрения стандартов  повышения доступности  амбулаторной помощи </t>
  </si>
  <si>
    <t xml:space="preserve">поступление в системе ОМС  за оказание услуг застрахованным лицам </t>
  </si>
  <si>
    <t>родовые сертификаты</t>
  </si>
  <si>
    <t xml:space="preserve">доходы  от возмещения ущерба при возникновении страховых случаев </t>
  </si>
  <si>
    <t xml:space="preserve">прочие безвозмездные поступления (коммунальные услуги) </t>
  </si>
  <si>
    <t>гр.1</t>
  </si>
  <si>
    <t>гр.2</t>
  </si>
  <si>
    <t>гр.3= гр. 4 + гр. 8</t>
  </si>
  <si>
    <t>гр.4</t>
  </si>
  <si>
    <t>гр.5</t>
  </si>
  <si>
    <t>гр.6</t>
  </si>
  <si>
    <t>гр.7</t>
  </si>
  <si>
    <t>гр.8</t>
  </si>
  <si>
    <t>гр.9</t>
  </si>
  <si>
    <t>гр.10</t>
  </si>
  <si>
    <t>гр.11</t>
  </si>
  <si>
    <t>гр.12</t>
  </si>
  <si>
    <t>гр.13</t>
  </si>
  <si>
    <t>гр.14</t>
  </si>
  <si>
    <t>гр.15</t>
  </si>
  <si>
    <t>гр.16</t>
  </si>
  <si>
    <t>гр.17</t>
  </si>
  <si>
    <t>гр.18</t>
  </si>
  <si>
    <t>гр.19</t>
  </si>
  <si>
    <t>гр.20</t>
  </si>
  <si>
    <t xml:space="preserve">Планируемый остаток средств на начало года </t>
  </si>
  <si>
    <t>X</t>
  </si>
  <si>
    <t xml:space="preserve">Поступления, всего: </t>
  </si>
  <si>
    <t xml:space="preserve">Планируемый остаток средств на конец года </t>
  </si>
  <si>
    <t xml:space="preserve">Выплаты, всего: </t>
  </si>
  <si>
    <t xml:space="preserve">в том числе: </t>
  </si>
  <si>
    <t xml:space="preserve">Заработная плата </t>
  </si>
  <si>
    <t xml:space="preserve">Прочие выплаты </t>
  </si>
  <si>
    <t>Начисления на выплаты по оплате труда</t>
  </si>
  <si>
    <t xml:space="preserve">                                   </t>
  </si>
  <si>
    <t xml:space="preserve">Услуги связи </t>
  </si>
  <si>
    <t xml:space="preserve">Транспортные услуги </t>
  </si>
  <si>
    <t xml:space="preserve">Коммунальные услуги </t>
  </si>
  <si>
    <t xml:space="preserve"> </t>
  </si>
  <si>
    <t xml:space="preserve">Арендная плата за  пользование имуществом </t>
  </si>
  <si>
    <t xml:space="preserve">Работы, услуги по  содержанию имущества </t>
  </si>
  <si>
    <t>Прочие работы, услуги</t>
  </si>
  <si>
    <t xml:space="preserve">Безвозмездные  перечисления государственным и муниципальным  организациям </t>
  </si>
  <si>
    <t xml:space="preserve">Пособия по социальной помощи населению </t>
  </si>
  <si>
    <t xml:space="preserve">Пенсии, пособия, выплачиваемые  государственными учреждениями </t>
  </si>
  <si>
    <t xml:space="preserve">Прочие расходы </t>
  </si>
  <si>
    <t xml:space="preserve">Увеличение стоимости основных средств </t>
  </si>
  <si>
    <t xml:space="preserve">Увеличение стоимости нематериальных  активов </t>
  </si>
  <si>
    <t xml:space="preserve">Увеличение стоимости непроизводственных активов </t>
  </si>
  <si>
    <t xml:space="preserve">Увеличение стоимости материальных запасов </t>
  </si>
  <si>
    <t>Увеличение стоимости ценных бумаг, кроме акций и иных форм участия в капитале</t>
  </si>
  <si>
    <t>Увеличение стоимости акций и иных форм  участия в капитале</t>
  </si>
  <si>
    <t>____________</t>
  </si>
  <si>
    <t xml:space="preserve">подпись </t>
  </si>
  <si>
    <t>ФИО</t>
  </si>
  <si>
    <t xml:space="preserve">Исполнитель </t>
  </si>
  <si>
    <t>Скрыпник А.А.</t>
  </si>
  <si>
    <t>8-42-351-23-6-02</t>
  </si>
  <si>
    <t xml:space="preserve">Детализированные показатели по поступлениям и выплатам </t>
  </si>
  <si>
    <t>Приложение №1</t>
  </si>
  <si>
    <t>ПЕРЕЧЕНЬ МЕДИЦИНСКИХ УСЛУГ</t>
  </si>
  <si>
    <t xml:space="preserve"> ОКАЗЫВАЕМЫЕ КРАЕВЫМ ГОСУДАРСТВЕННЫМ УЧРЕЖДЕНИЕМ ЗДРАВООХРАНЕНИЯ "ЧЕРНИГОВСКАЯ ЦЕНТРАЛЬНАЯ РАЙОННАЯ БОЛЬНИЦА"</t>
  </si>
  <si>
    <t>Прием (осмотр,консультация) врача-терапевта участкового первичный</t>
  </si>
  <si>
    <t>Прием (осмотр,консультация) врача-терапевта участкового повторный</t>
  </si>
  <si>
    <t>Прием (осмотр,консультация) врача-терапевта участкового профилактический</t>
  </si>
  <si>
    <t>Прием (осмотр,консультация) врача-терапевта участкового на дому</t>
  </si>
  <si>
    <t>Прием (осмотр,консультация) врача -хирурга первичный</t>
  </si>
  <si>
    <t>Прием (осмотр,консультация) врача -хирурга повторный</t>
  </si>
  <si>
    <t>Прием (осмотр,консультация) врача -хирурга профилактический</t>
  </si>
  <si>
    <t>Прием (осмотр,консультация) врача -хирурга на дому</t>
  </si>
  <si>
    <t>Прием (осмотр,консультация) врача -травматолога-ортопеда первичный</t>
  </si>
  <si>
    <t>Прием (осмотр,консультация) врача -травматолога-ортопеда повторный</t>
  </si>
  <si>
    <t>Биомикроскопия глаза</t>
  </si>
  <si>
    <t>Периметрия на цвета</t>
  </si>
  <si>
    <t>Подбор очков для больных с астигматизмом</t>
  </si>
  <si>
    <t xml:space="preserve">Подбор очков </t>
  </si>
  <si>
    <t>Тонометрия</t>
  </si>
  <si>
    <t>Тонография</t>
  </si>
  <si>
    <t>Промывание слезных путей</t>
  </si>
  <si>
    <t>Определение цветоощущения</t>
  </si>
  <si>
    <t>Определение внутриглазного давления</t>
  </si>
  <si>
    <t>Прием (осмотр, консультация) врача-оториноларинголога первичный</t>
  </si>
  <si>
    <t>Прием (осмотр, консультация) врача-оториноларинголога повторный</t>
  </si>
  <si>
    <t>Консультация врача-оториноларинголога на дому</t>
  </si>
  <si>
    <t>Профилактический осмотр врача-оториноларинголога</t>
  </si>
  <si>
    <t>Промывание серных пробок</t>
  </si>
  <si>
    <t>Промывание барабанной полости</t>
  </si>
  <si>
    <t>Продувание слуховых труб</t>
  </si>
  <si>
    <t>Введение лекарственных препаратов в наружный слуховой проход</t>
  </si>
  <si>
    <t>Вестибулометрия</t>
  </si>
  <si>
    <t>Прием (осмотр,консультация) врача невролога первичный</t>
  </si>
  <si>
    <t>Прием (осмотр,консультация) врача невролога повторный</t>
  </si>
  <si>
    <t>Прием (осмотр,консультация) врача невролога профилактический</t>
  </si>
  <si>
    <t>Прием (осмотр,консультация) врача невролога на дому</t>
  </si>
  <si>
    <t>Прием (осмотр,консультация) врача дерматовенеролога первичный</t>
  </si>
  <si>
    <t>Прием (осмотр,консультация) врача дерматовенеролога повторный</t>
  </si>
  <si>
    <t>Прием (осмотр,консультация) врача дерматовенеролога профилактический</t>
  </si>
  <si>
    <t>Анонимное исследование на гонококк</t>
  </si>
  <si>
    <t>Прием (осмотр,консультация) врача инфекциониста первичный</t>
  </si>
  <si>
    <t>Прием (осмотр,консультация) врача инфекциониста повторный</t>
  </si>
  <si>
    <t>Прием (осмотр,консультация) врача инфекциониста профилактический</t>
  </si>
  <si>
    <t>Прием (осмотр,консультация) врача эндокринолога первичный</t>
  </si>
  <si>
    <t>Прием (осмотр,консультация) врача эндокринолога повторный</t>
  </si>
  <si>
    <t>Прием (осмотр,консультация) врача эндокринолога профилактический</t>
  </si>
  <si>
    <t>Прием (осмотр,консультация)врача онколога первичный</t>
  </si>
  <si>
    <t>Прием (осмотр,консультация)врача онколога повторный</t>
  </si>
  <si>
    <t>Прием (осмотр,консультация)врача онколога профилактический</t>
  </si>
  <si>
    <t>Прием (осмотр,консультация)врача онколога на дому</t>
  </si>
  <si>
    <t>Прием (осмотр,консультация) врача - психиатра-нарколога первичный</t>
  </si>
  <si>
    <t>Прием (осмотр,консультация) врача - психиатра-нарколога повторный</t>
  </si>
  <si>
    <t>Прием (осмотр,консультация) врача - психиатра-нарколога профилактический</t>
  </si>
  <si>
    <t>Прием (осмотр,консультация) врача - психиатра профилактический</t>
  </si>
  <si>
    <t>Предрейсовое (послерейсовое)  медицинское освидетельствование водителей</t>
  </si>
  <si>
    <t>Медицинское освидетельствование на наличие наркотического опьянения</t>
  </si>
  <si>
    <t>Медицинское освидетельствование на наличие алкогольного опьянения</t>
  </si>
  <si>
    <t>Измерение артериального давления</t>
  </si>
  <si>
    <t>Услуги фельдшера кабинета медицинских осмотров ( оформление документации на платные медицинские осмотры, заключение договоров с организациями)</t>
  </si>
  <si>
    <t>Массаж головы (лобно-височной и затылочно-теменной области)</t>
  </si>
  <si>
    <t>Массаж мыщц лица (лобной, окологлазничной, верхней и нижне-челюстной области)</t>
  </si>
  <si>
    <t>Массаж мыщц шеи</t>
  </si>
  <si>
    <t>Массаж воротниковой зоны (задней поверхности шеи, спины до уровня VI грудного позвонка, передней поверхности грудной клетки до II ребра)</t>
  </si>
  <si>
    <t>Массаж верхней конечности</t>
  </si>
  <si>
    <t>Массаж верхней конечности, надплечья и области лопатки</t>
  </si>
  <si>
    <t>Массаж плечевого сустава (верхней трети плеча, области плечевого сустава и надплечья одноименной стороны)</t>
  </si>
  <si>
    <t>Массаж локтевого сустава (верхней трети предплечья, области локтевого сустава и нижней трети плеча)</t>
  </si>
  <si>
    <t>Массаж лучезапястного сустава (промаксимального отдела кисти, области лучезапястного сустава и предплечья)</t>
  </si>
  <si>
    <t>Массаж кисти и предплечья</t>
  </si>
  <si>
    <t>Массаж области грудной клетки (области передней поверхности грудной клетки от передней границы надплечий до реберных дуг и области спины от VII шейного до I поясничного позвонка)</t>
  </si>
  <si>
    <t>Массаж спины (от VII шейного до I поясничного позвонка и от левой до правой средней аксиллярной линии; у детей - включая пояснично-крестцовую область)</t>
  </si>
  <si>
    <t xml:space="preserve">Массаж мышц передней брюшной стенки </t>
  </si>
  <si>
    <t>Массаж пояснично-крестцовой области (области спины от  I поясничного позвонка до нижних ягодичных складок)</t>
  </si>
  <si>
    <t>Сегментарный массаж пояснично-крестцовой области</t>
  </si>
  <si>
    <t>Массаж спины и поясницы (от VII шейного позвонка до крестца и от левой до правой средней аксиллярной линии)</t>
  </si>
  <si>
    <t>Массаж шейно-грудного отдела позвоночника (области задней поверхности шеи и области спины до 1 поясничного позвонка от левой до правой задней аксиллярной линии)</t>
  </si>
  <si>
    <t>Сегментарный массаж шейно-грудного отдела позвоночника</t>
  </si>
  <si>
    <t>Массаж области позвоночника (области задней поверхности шеи, спины, пояснично-крестцовой области от левой до правой задней аксиллярной линии)</t>
  </si>
  <si>
    <t>Массаж нижней конечности</t>
  </si>
  <si>
    <t>Массаж нижней конечности и поясницы (области стопы, голени, бедра, ягодичной и пояснично-крестцовой области или всех суставов конечности)</t>
  </si>
  <si>
    <t>Массаж тазобедренного сустава (верхней трети бедра, области тазобедренного сустава и ягодичной области одноименной стороны)</t>
  </si>
  <si>
    <t>Массаж коленного сустава (верхней трети голени; области коленного сустава и нижней трети бедра)</t>
  </si>
  <si>
    <t>Массаж голеностопного сустава (проксимального отдела стопы, области голеностопного сустава и нижней трети голени)</t>
  </si>
  <si>
    <t>Массаж стопы и голени</t>
  </si>
  <si>
    <t>Общий массаж у детей грудного и младшего дошкольного возраста</t>
  </si>
  <si>
    <t>Прием (осмотр,консультация) врача педиатра участкового первичный</t>
  </si>
  <si>
    <t>Прием (осмотр,консультация) врача педиатра участкового повторный</t>
  </si>
  <si>
    <t>Прием (осмотр,консультация) врача педиатра участкового на дому</t>
  </si>
  <si>
    <t>Консультативный прием врача акушера-гинеколога (первичный)</t>
  </si>
  <si>
    <t>Консультативный прием врача акушера -гинеколога (повторный)</t>
  </si>
  <si>
    <t>Консультативный прием врача акушера -гинеколога профилактический</t>
  </si>
  <si>
    <t>Забор биологического материала на исследование</t>
  </si>
  <si>
    <t>Кольпоскопия</t>
  </si>
  <si>
    <t>Деструктивные методы лечения доброкачественных заболеываний шейки матки , влагалища и НПО</t>
  </si>
  <si>
    <t>Биопсия эндометрия</t>
  </si>
  <si>
    <t>Введение внутриматочной спирали</t>
  </si>
  <si>
    <t>Удаление внутриматочной спирали</t>
  </si>
  <si>
    <t>Мини-аборт методом вакуум-аспирации</t>
  </si>
  <si>
    <t>Медикаментозное прерывание беременности в зависимости от стоимости препарата</t>
  </si>
  <si>
    <t>Биопсия шейки матки</t>
  </si>
  <si>
    <t>Введение акушерского пессария разгружающего (без стоимости материала)</t>
  </si>
  <si>
    <t>Введение гинекологического пессария (без стоимости материала)</t>
  </si>
  <si>
    <t xml:space="preserve">Раздельное диагностическое выскабливание цервикального канала. полости матки </t>
  </si>
  <si>
    <t>Удаление кондилом</t>
  </si>
  <si>
    <t>Роды (при отсутствии полиса ОМС)</t>
  </si>
  <si>
    <t>Смотровой кабинет</t>
  </si>
  <si>
    <t>Наложение пломбы при среднем кариесе</t>
  </si>
  <si>
    <t>Наложение пломбы при глубоком кариесе</t>
  </si>
  <si>
    <t>Лечение пульпита однокорневого зуба</t>
  </si>
  <si>
    <t>Лечение пульпита двухкорневого зуба</t>
  </si>
  <si>
    <t>Лечение пульпита трехкорневого зуба</t>
  </si>
  <si>
    <t>Лечение периодонтита однокорневого зуба</t>
  </si>
  <si>
    <t>Лечение периодонтита двухкорневого зуба</t>
  </si>
  <si>
    <t>Лечение периодонтита трехкорневого зуба</t>
  </si>
  <si>
    <t>Распломбирование корневого канала</t>
  </si>
  <si>
    <t>Восстановление разрушенной коронки с помощью проволочного каркаса, фиксированного в парапульпарных каналах, пластмассы или композитных материалов</t>
  </si>
  <si>
    <t>Снятие пломбы</t>
  </si>
  <si>
    <t>Удаление зубного камня</t>
  </si>
  <si>
    <t>Покрытие зуба фиссур герметиком</t>
  </si>
  <si>
    <t>Резекция верхушки корня зуба</t>
  </si>
  <si>
    <t>Вылущивание ретенционной кисты</t>
  </si>
  <si>
    <t xml:space="preserve">Осмотр, консультация врача  стоматолога </t>
  </si>
  <si>
    <t>Удаление зуба  сложное</t>
  </si>
  <si>
    <t>Удаление зуба  простое</t>
  </si>
  <si>
    <t>Шинирование при переломах челюстей</t>
  </si>
  <si>
    <t>Фторпрофилактика, покрытие серебром (1 сеанс)</t>
  </si>
  <si>
    <t>Постановка пломбы из светоотверждающих материалов</t>
  </si>
  <si>
    <t>Постановка пломбы из композитов химического отверждения:</t>
  </si>
  <si>
    <t>Реставрация зуба светоотверждающим материалом</t>
  </si>
  <si>
    <t>Коронка стальная</t>
  </si>
  <si>
    <t>Коронка с пластмассовой облицовкой</t>
  </si>
  <si>
    <t>Коронка восстановительная</t>
  </si>
  <si>
    <t>Зуб штифтовый пластмассовый</t>
  </si>
  <si>
    <t>Фасетка стальная</t>
  </si>
  <si>
    <t>Базис частичный</t>
  </si>
  <si>
    <t>Базис полный</t>
  </si>
  <si>
    <t>Ложка индивидуальная</t>
  </si>
  <si>
    <t>Пайка</t>
  </si>
  <si>
    <t>Зуб литой</t>
  </si>
  <si>
    <t>Зуб литой с опылением</t>
  </si>
  <si>
    <t>Зуб штифтовый с облицовкой</t>
  </si>
  <si>
    <t>Снятие коронки</t>
  </si>
  <si>
    <t>Цементирование коронки</t>
  </si>
  <si>
    <t>Осмотр, консультация</t>
  </si>
  <si>
    <t>Оформление</t>
  </si>
  <si>
    <t>Декорирование зубного протеза (1 ед.) расценка может изменяться в зависимости от изменения цен завода изготовителя</t>
  </si>
  <si>
    <t>Двухслойный корректирующий слепок</t>
  </si>
  <si>
    <t>Ретракционная нить</t>
  </si>
  <si>
    <t>Вкладка цельнолитая</t>
  </si>
  <si>
    <t>Штифтовый зуб цельнолитой</t>
  </si>
  <si>
    <t>Экваторная коронка</t>
  </si>
  <si>
    <t>Цельнолитая коронка</t>
  </si>
  <si>
    <t>Бюгельная коронка</t>
  </si>
  <si>
    <t>Восстановительная штампованная коронка</t>
  </si>
  <si>
    <t>Восстановительная цельнолитая коронка</t>
  </si>
  <si>
    <t>Бюгельный дуговой протез</t>
  </si>
  <si>
    <t>Пластмассовый штифтовый зуб с надкорневой защиткой</t>
  </si>
  <si>
    <t>Цельнолитой комбинированный штифтовый зуб с надкорневой защиткой</t>
  </si>
  <si>
    <t>Протез-шина</t>
  </si>
  <si>
    <t>Накусочная пластинка</t>
  </si>
  <si>
    <t>Малый седловидный протез</t>
  </si>
  <si>
    <t>Комплексное Ультразвуковое исследование печени, желчного пузыря, поджелудочной железы, селезенки,почки</t>
  </si>
  <si>
    <t>Ультразвуковое исследование печени, желчного пузыря.</t>
  </si>
  <si>
    <t xml:space="preserve">Ультразвуковое исследование поджелудочной железы </t>
  </si>
  <si>
    <t>Ультразвуковое исследование мочевого пузыря</t>
  </si>
  <si>
    <t>Ультразвуковое исследование  надпочечников</t>
  </si>
  <si>
    <t>Ультразвуковое исследование глаза</t>
  </si>
  <si>
    <t xml:space="preserve">Ультразвуковое исследование мошонки </t>
  </si>
  <si>
    <t>Ультразвуковое исследование суставов</t>
  </si>
  <si>
    <t>Ультразвуковое исследование простаты</t>
  </si>
  <si>
    <t>Ультразвуковое исследование почек</t>
  </si>
  <si>
    <t>Ультразвуковое исследование почек, мочевыводящих путей и мочевого пузыря</t>
  </si>
  <si>
    <t>Ультразвуковое исследование предстательной железы, мочевого пузыря и остаточной мочи</t>
  </si>
  <si>
    <t>Ультразвуковое исследование селезенки</t>
  </si>
  <si>
    <t>Ультразвуковое исследование сердца</t>
  </si>
  <si>
    <t>Ультразвуковое исследование щитовидной железы</t>
  </si>
  <si>
    <t>Ультразвуковое исследование лимфатических узлов</t>
  </si>
  <si>
    <t>Ультразвуковое исследование плевральной полости</t>
  </si>
  <si>
    <t>Ультразвуковое исследование молочных желез</t>
  </si>
  <si>
    <t>Ультразвуковое исследование матки и придатков</t>
  </si>
  <si>
    <t>Ультразвуковое исследование матки и придатков (определение беременности)</t>
  </si>
  <si>
    <t>Ультразвуковое исследование матки (контроль установки ВМС)</t>
  </si>
  <si>
    <t>Ультразвуковое исследование матки после прерывания беременности</t>
  </si>
  <si>
    <t>Ультразвуковое исследование матки и придатков двумя датчиками</t>
  </si>
  <si>
    <t>Ультразвуковое исследование плода 1триместр</t>
  </si>
  <si>
    <t>Ультразвуковое исследование плода свыше 2 триместр</t>
  </si>
  <si>
    <t>Ультразвуковое исследование плода повторное</t>
  </si>
  <si>
    <t>Ультразвуковое исследование плода, определение пола плода</t>
  </si>
  <si>
    <t>Электрофорез</t>
  </si>
  <si>
    <t>Электростимуляция</t>
  </si>
  <si>
    <t>УВЧ-терапия</t>
  </si>
  <si>
    <t>Дарсонвализация</t>
  </si>
  <si>
    <t>Магнитотерапия</t>
  </si>
  <si>
    <t>Ультразвуковая терапия</t>
  </si>
  <si>
    <t>Уф-облучение</t>
  </si>
  <si>
    <t>Ингаляции различные</t>
  </si>
  <si>
    <t>Светолечение лазером</t>
  </si>
  <si>
    <t xml:space="preserve">Гистеросальпингография </t>
  </si>
  <si>
    <t>Обзорная рентгенография молочных желез (маммография)</t>
  </si>
  <si>
    <t>Рентгенография зуба</t>
  </si>
  <si>
    <t>Рентгенография суставов, в 1 проекции</t>
  </si>
  <si>
    <t>Рентгенография суставов, в 2 проекциях</t>
  </si>
  <si>
    <t>Рентгенография стопы в 1 проекции</t>
  </si>
  <si>
    <t>Рентгенография стопы в 2 проекциях</t>
  </si>
  <si>
    <t>Рентгенография кисти руки в 1 проекции</t>
  </si>
  <si>
    <t>Рентгенография кисти руки в 2 проекциях</t>
  </si>
  <si>
    <t>Рентгенография позвоночника в 1 проекции</t>
  </si>
  <si>
    <t>Рентгенография позвоночника в 2 проекциях</t>
  </si>
  <si>
    <t>Рентгенография крестца и копчика в 1 проекции</t>
  </si>
  <si>
    <t>Рентгенография крестца и копчика в 2 проекциях</t>
  </si>
  <si>
    <t>Рентгенография ребра(ер) в 1 проекции</t>
  </si>
  <si>
    <t>Рентгенография ребра(ер) в 2 проекциях</t>
  </si>
  <si>
    <t>Рентгенография грудины , в 1 проекциях</t>
  </si>
  <si>
    <t>Рентгенография грудины, в 2 проекциях</t>
  </si>
  <si>
    <t>Рентгенография черепа в двух проекциях</t>
  </si>
  <si>
    <t>Рентгенография придаточных пазух носа</t>
  </si>
  <si>
    <t>Обзорный снимок брюшной полости и органов малого таза</t>
  </si>
  <si>
    <t>Флюорография легких цифровая</t>
  </si>
  <si>
    <t>Ирригография</t>
  </si>
  <si>
    <t>Рентгенография глазницы</t>
  </si>
  <si>
    <t>Рентгеноскопия пищевода</t>
  </si>
  <si>
    <t>Рентгеноскопия желудка и 12-перстной кишки</t>
  </si>
  <si>
    <t>Внутривенная урография (без стоимости контраста)</t>
  </si>
  <si>
    <t>Цистография</t>
  </si>
  <si>
    <t>Описание и интерпретация рентгенографических изображений</t>
  </si>
  <si>
    <t>Осмотр (консультация) врачом-рентгенологом терапевтический</t>
  </si>
  <si>
    <t>Эзофагогастродуоденоскопия ( диагностика)</t>
  </si>
  <si>
    <t>Эзофагогастродуоденоскопия ( диагностика с биопсией)</t>
  </si>
  <si>
    <t>Эзофагогастродуоденоскопия (лечение)</t>
  </si>
  <si>
    <t>Бронхоскопия (диагностика)</t>
  </si>
  <si>
    <t>Бронхоскопия  (лечение)</t>
  </si>
  <si>
    <t>Толстокишечная эндоскопия (диагностика)</t>
  </si>
  <si>
    <t>Толстокишечная эндоскопия (диагностика с биопсией)</t>
  </si>
  <si>
    <t>Толстокишечная эндоскопия (лечение)</t>
  </si>
  <si>
    <t>Исследование материала желудка на наличие хеликобактерий</t>
  </si>
  <si>
    <t>Ректороманоскопия (диагностика)</t>
  </si>
  <si>
    <t>Ректороманоскопия (лечение)</t>
  </si>
  <si>
    <t>Эзофагоскопия (диагностика)</t>
  </si>
  <si>
    <t xml:space="preserve">Электрокардиография с физическими упражнениями </t>
  </si>
  <si>
    <t>Проведение электрокардиографических исследований в поликлинике</t>
  </si>
  <si>
    <t>Эхокардиография с допплеровским анализом</t>
  </si>
  <si>
    <t>Определение холестерина</t>
  </si>
  <si>
    <t>Определение железа</t>
  </si>
  <si>
    <t>Определение креатинина</t>
  </si>
  <si>
    <t>Определение мочевой кислоты</t>
  </si>
  <si>
    <t>Определение общего белка</t>
  </si>
  <si>
    <t>Определение мочевины</t>
  </si>
  <si>
    <t>Определение АлАТ</t>
  </si>
  <si>
    <t>Определение АсАТ</t>
  </si>
  <si>
    <t>Определение тимоловой пробы</t>
  </si>
  <si>
    <t>Определение амилазы</t>
  </si>
  <si>
    <t>Определение кальция</t>
  </si>
  <si>
    <t>Определение фосфора</t>
  </si>
  <si>
    <t>Определение хлоридов</t>
  </si>
  <si>
    <t>Определение калия</t>
  </si>
  <si>
    <t>Определение натрия</t>
  </si>
  <si>
    <t>Определение "С" - реактивного белка</t>
  </si>
  <si>
    <t>Определение альбумина</t>
  </si>
  <si>
    <t>Липидограмма (ЛПВП, ЛПНП, триглицериды, холестерин общий)</t>
  </si>
  <si>
    <t>Общий анализ мочи</t>
  </si>
  <si>
    <t>Анализ мочи по Нечипоренко</t>
  </si>
  <si>
    <t>Определение резус-фактора и группы крови</t>
  </si>
  <si>
    <t>Исследование кала на скрытую кровь</t>
  </si>
  <si>
    <t>Копрограмма</t>
  </si>
  <si>
    <t>Гинекологический мазок на микрофлору</t>
  </si>
  <si>
    <t>Определение МНО</t>
  </si>
  <si>
    <t>Определение фибриногена</t>
  </si>
  <si>
    <t>Определение титра антител</t>
  </si>
  <si>
    <t>Гистология</t>
  </si>
  <si>
    <t>Кольпоцитология</t>
  </si>
  <si>
    <t>Определение альбумина в моче</t>
  </si>
  <si>
    <t>Определение креатинкиназы</t>
  </si>
  <si>
    <t>Экспресс-анализ на содержание наркотиков</t>
  </si>
  <si>
    <t>Химико-токсикологические исследования (ХТИ)</t>
  </si>
  <si>
    <t>Бактериологическое исследование гнойного отделяемого на аэробные и факультативно-анаэробные микроорганизмы</t>
  </si>
  <si>
    <t>Бактериологическое исследование раневого отделяемого на аэробные и факультативно-анаэробные микроорганизмы</t>
  </si>
  <si>
    <t>Микологическое исследование раневого отделяемого на кандида (Candida spp.)</t>
  </si>
  <si>
    <t>Бактериологическое исследование крови на бруцеллы (Brucella spp.)</t>
  </si>
  <si>
    <t>Микробиологическое исследование крови на кандида (Candida spp.)</t>
  </si>
  <si>
    <t xml:space="preserve">Исследование микробиоценоза  кишечника  (дисбактериоз) </t>
  </si>
  <si>
    <t>Бактериологическое исследование материала из десневых карманов на неспорообразующие анаэробы</t>
  </si>
  <si>
    <t>Бактериологическое исследование отделяемого слизистой полости рта на неспорообразующие анаэробы</t>
  </si>
  <si>
    <t>Микологическое исследование на кандида (Candida spp.)</t>
  </si>
  <si>
    <t>Бактериологическое исследование слизи и пленок с миндалин на палочку дифтерии (Corinebacterium diphtheriae)</t>
  </si>
  <si>
    <t>Микроскопическое исследование мазков с задней стенки глотки на менингококк (Neisseria meningiditis)</t>
  </si>
  <si>
    <t>Бактериологическое исследование слизи с задней стенки глотки на менингококк (Neisseria meningiditis)</t>
  </si>
  <si>
    <t>Микроскопическое исследование мазков с миндалин на гонококк (Neisseria gonorrhoeae)</t>
  </si>
  <si>
    <t>Бактериологическое исследование смывов из околоносовых полостей на аэробные и факультативно-анаэробные микроорганизмы</t>
  </si>
  <si>
    <t>Микроскопическое исследование мазков мокроты на микобактерии туберкулеза (Mycobacterium tuberculosis)</t>
  </si>
  <si>
    <t>Бактериологическое исследование мокроты на микобактерии туберкулеза (Mycobacterium tuberculosis)</t>
  </si>
  <si>
    <t>Микробиологическое исследование плеврального эксудата на легионеллу пневмонии (Legionella pneumophilia)</t>
  </si>
  <si>
    <t>Бактериологическое исследование мокроты на аэробные и факультативно-анаэробные микроорганизмы</t>
  </si>
  <si>
    <t>Бактериологическое исследование слизи с задней стенки глотки на палочку коклюша (Bordetella pertussis)</t>
  </si>
  <si>
    <t>Бактериологическое исследование кала на возбудителя дизентерии (Shigella spp.)</t>
  </si>
  <si>
    <t>Бактериологическое исследование кала на тифо-паратифозные микроорганизмы (Salmonella typhi)</t>
  </si>
  <si>
    <t>Бактериологическое исследование кала на сальмонеллы (Salmonella spp.)</t>
  </si>
  <si>
    <t>Бактериологическое исследование кала на аэробные и факультативно-анаэробные микроорганизмы</t>
  </si>
  <si>
    <t>Микроскопическое исследование отделяемого женских половых органов на гонококк (Neisseria gonorrhoeae)</t>
  </si>
  <si>
    <t>Бактериологическое исследование отделяемого женских половых органов на гонококк (Neisseria gonorrhoeae)</t>
  </si>
  <si>
    <t>Микроскопическое исследование отделяемого женских половых органов на аэробные и факультативно анаэробные микроорганизмы</t>
  </si>
  <si>
    <t>Микробиологическое исследование отделяемого женских половых органов на аэробные и факультативно-анаэробные микроорганизмы</t>
  </si>
  <si>
    <t>Микроскопическое исследование отделяемого из уретры на гонококк (Neisseria gonorrhoeae)</t>
  </si>
  <si>
    <t>Бактериологическое исследование отделяемого из уретры на гонококк (Neisseria gonorrhoeae)</t>
  </si>
  <si>
    <t>Микроскопическое исследование отделяемого из цервикального канала на уреаплазму"Уреалитикум"</t>
  </si>
  <si>
    <t>Микроскопическое исследование отделяемого из цервикального канала на микоплазму"Хоминис"</t>
  </si>
  <si>
    <t>Микроскопическое исследование отделяемого из цервикального каналп на микоплазму "Гениталиум"</t>
  </si>
  <si>
    <t>Микроскопическое исследование отделяемого из цервикального канала на трихомониаз</t>
  </si>
  <si>
    <t>Микроскопическое исследование отделяемого из цервикального канала на бактериальный вагиноз (гарднереллы)</t>
  </si>
  <si>
    <t>Микроскопическое исследование отделяемого из цервикального канала на хламидиоз</t>
  </si>
  <si>
    <t>Микроскопическое исследование отделяемого из уретры на кандида (Candida spp.)</t>
  </si>
  <si>
    <t>Микроскопическое исследование спинномозговой жидкости (СМЖ) на менингококк (Neisseria meningiditis)</t>
  </si>
  <si>
    <t>Бактериологическое исследование спинномозговой жидкости  на менингококк (Neisseria meningiditis)</t>
  </si>
  <si>
    <t>Бактериологическое исследование отделяемого из ушей на аэробные и факультативно-анаэробные микроорганизмы</t>
  </si>
  <si>
    <t>Микроскопическое исследование отделяемого из ушей на аспергиллы (Aspergillus niger)</t>
  </si>
  <si>
    <t>Микроскопическое исследование отделяемого коньюнктивы на аэробные и факультативно-анаэробные микроорганизмы</t>
  </si>
  <si>
    <t>Бактериологическое исследование отделяемого конъюнктивы (слезная жидкость) на аэробные и факультативно-анаэробные условно-патогенные микроорганизмы</t>
  </si>
  <si>
    <t>Микробиологическое исследование мочи на микобактерии (Mycobacterium spp.)</t>
  </si>
  <si>
    <t>Микробиологическое исследование мочи на аэробные и факультативно-анаэробные условно-патогенные микроорганизмы</t>
  </si>
  <si>
    <t>Определение чувствительности микроорганизмов к антибиотикам и другим препаратам</t>
  </si>
  <si>
    <t>Исследование инструментов на стерильность</t>
  </si>
  <si>
    <t>Исследование шовного материала на стерильность</t>
  </si>
  <si>
    <t>Смывы предметов окружающей среды на БГКП</t>
  </si>
  <si>
    <t>Смывы на золотистый стафилокок</t>
  </si>
  <si>
    <t>Контроль донороской крови, плазмы и кровозаменителей</t>
  </si>
  <si>
    <t>Обсемененность воздуха на общее микробное число (ОМЧ), БГКП</t>
  </si>
  <si>
    <t>Определение антител классов A,M, G (IgA, IgM, IgG) к хламидии трахоматис (Chlamydia trachomatis) в крови</t>
  </si>
  <si>
    <t>Определение антител классов A,M, G (IgA, IgM, IgG) к хламидии трахоматис (Chlamydia trachomatis) в крови (хламиантиген)</t>
  </si>
  <si>
    <t>Определение антител классов M, G (IgM, IgG) к цитомегаловирусу (Cytomegalovirus) в крови</t>
  </si>
  <si>
    <t>Определение антител классов M, G (IgM, IgG) к цитомегаловирусу (Cytomegalovirus) в крови ( определение авидности)</t>
  </si>
  <si>
    <t>Определение антител класса G (IgG) к эхинококку однокамерному в крови</t>
  </si>
  <si>
    <t>Определение антител классов A, M, G (IgM, IgA, IgG) к лямблиям в крови</t>
  </si>
  <si>
    <t>Определение антител к хеликобактеру пилори (Helicobacter pylori) в крови</t>
  </si>
  <si>
    <t>Определение антигена к вирусу гепатита В (НbsAg Hepatitis B virus) в крови</t>
  </si>
  <si>
    <t>Определение антител классов M, G (IgM, IgG) к вирусному гепатиту С (Hepatitis C virus) в крови</t>
  </si>
  <si>
    <t>Определение антител классов M, G (IgM, IgG) к вирусу простого герпеса (Herpes simplex virus 1, 2) в крови</t>
  </si>
  <si>
    <t>Определение антител классов M, G (IgM, IgG) к вирусу простого герпеса (Herpes simplex virus 1, 2) в крови ( на авидность)</t>
  </si>
  <si>
    <t>Определение  антигена к микоплазме человеческой (Mycoplasma hominis) (соскобы эпителиальных клеток) в крови</t>
  </si>
  <si>
    <t>Определение антител к возбудителю описторхоза (Opistorchis felineus) в крови</t>
  </si>
  <si>
    <t>Определение антигена ротавируса в крови</t>
  </si>
  <si>
    <t>Определение антител классов M, G (IgM, IgG) к вирусу краснухи (Rubeola virus) в крови</t>
  </si>
  <si>
    <t>Определение антител класса G (Ig G) к уреаплазме в крови</t>
  </si>
  <si>
    <t>Определение антител к трихинеллам (Trichinella spp.) в крови</t>
  </si>
  <si>
    <t>Определение антител к токсокаре собак (Toxocara canis) в крови</t>
  </si>
  <si>
    <t>Определение антител к токсоплазме (Toxoplasma gondii) в крови</t>
  </si>
  <si>
    <t>Определение антител к токсоплазме (Toxoplasma gondii) в крови  (авидность)</t>
  </si>
  <si>
    <t>Определение антител к вирусу клещевого энцефалита в крови</t>
  </si>
  <si>
    <t>Исследование уровня антигена аденогенных раков Ca 125 в крови</t>
  </si>
  <si>
    <t>Исследование уровня антигена аденогенных раков Са 72-4 в крови</t>
  </si>
  <si>
    <t>Исследование уровня антигена аденогенных раков СА 19-9 в крови</t>
  </si>
  <si>
    <t>Исследование уровня ракового эмбрионального антигена в крови</t>
  </si>
  <si>
    <t>Исследование уровня антигена плоскоклеточных раков в крови</t>
  </si>
  <si>
    <t>Исследование свободного трийодтиронина (Т3) в крови</t>
  </si>
  <si>
    <t>Исследование уровня свободного трийодтиронина (Т3) в сыворотке крови</t>
  </si>
  <si>
    <t>Исследование уровня свободного тироксина (Т4) сыворотки крови</t>
  </si>
  <si>
    <t>Оформление и выдача медицинской  справки (по личной инициативе граждан)</t>
  </si>
  <si>
    <t>Ксерокопирование документов (по личной инициативе граждан)</t>
  </si>
  <si>
    <t>Измерение артериального  давления (по личной инициативе граждан)</t>
  </si>
  <si>
    <t>Взятие крови из вены  (по личной инициативе граждан)</t>
  </si>
  <si>
    <t>Внутримышечная или подкожная инъекция ( без учета стоимости медикаментов)</t>
  </si>
  <si>
    <t>Иъекция внутривенная ( без учета стоимости медикаментов)</t>
  </si>
  <si>
    <t>Инъекция внутривенная капельная ( без учета стоимости медикаментов)</t>
  </si>
  <si>
    <t>Труп помыть,подбрить,одеть, уложить (по личной инициативе граждан)</t>
  </si>
  <si>
    <t>Наложение грима</t>
  </si>
  <si>
    <t>г.Владивосток</t>
  </si>
  <si>
    <t>г.Уссурийск</t>
  </si>
  <si>
    <t>г.Спасск-Дальний</t>
  </si>
  <si>
    <t>п.Сибирцево</t>
  </si>
  <si>
    <t>п.Реттиховка</t>
  </si>
  <si>
    <t>Медицинское освидетельствование граждан для выдачи лицензии на право приобретения оружия</t>
  </si>
  <si>
    <t>Углубленное медицинское освидетельствование на наличие наркотического опьянения в моче:</t>
  </si>
  <si>
    <t>УТВЕРЖДАЮ</t>
  </si>
  <si>
    <t xml:space="preserve"> Приморского края </t>
  </si>
  <si>
    <t>ПЛАН</t>
  </si>
  <si>
    <t>финансово-хозяйственной деятельности</t>
  </si>
  <si>
    <t>КОДЫ</t>
  </si>
  <si>
    <t>Дата</t>
  </si>
  <si>
    <t xml:space="preserve">Наименование краевого государственного бюджетного  учреждения </t>
  </si>
  <si>
    <r>
      <t xml:space="preserve"> </t>
    </r>
    <r>
      <rPr>
        <b/>
        <u/>
        <sz val="14"/>
        <rFont val="Times New Roman"/>
        <family val="1"/>
      </rPr>
      <t>Краевое государственное бюджетное  учреждение здравоохранения  «Черниговская центральная районная больница»</t>
    </r>
  </si>
  <si>
    <r>
      <t xml:space="preserve">ИНН/КПП   </t>
    </r>
    <r>
      <rPr>
        <b/>
        <sz val="14"/>
        <rFont val="Times New Roman"/>
        <family val="1"/>
      </rPr>
      <t xml:space="preserve"> 2533001523/253301001</t>
    </r>
  </si>
  <si>
    <t>Наименование органа, осуществляющего</t>
  </si>
  <si>
    <t>692372 Приморский край</t>
  </si>
  <si>
    <t>Черниговский район с.Черниговка</t>
  </si>
  <si>
    <t>ул.Дзержинского, 37а</t>
  </si>
  <si>
    <t>I. Сведения о деятельности государственного бюджетного</t>
  </si>
  <si>
    <t xml:space="preserve"> учреждения</t>
  </si>
  <si>
    <t xml:space="preserve">           1.1. Цели деятельности государственного бюджетного  учреждения : </t>
  </si>
  <si>
    <t xml:space="preserve">- сохранение    и    укрепление    состояния    здоровья    населения,    повышение  доступности и    улучшение качества    оказания    медицинской помощи. Оказание  медицинской  помощи населению в соответствии с Программой государственных  гарантий оказания гражданам Российской Федерации, проживающим на территории Приморского  края, бесплатной медицинской помощи. </t>
  </si>
  <si>
    <t xml:space="preserve">        1.2. Виды деятельности государственного бюджетного  учреждения:</t>
  </si>
  <si>
    <t xml:space="preserve"> - медицинская деятельность:</t>
  </si>
  <si>
    <t xml:space="preserve">          доврачебная медицинская помощь по: акушерскому делу, анестезиологии и реаниматологии,  вакцинации (проведению профилактических прививок),   гистологии,     лабораторной    диагностике,    лечебной физкультуре,  лечебному    делу, медицинским осмотрам (предрейсовым, послерейсовым), медицинским осмотрам профилактическим, медицинской статистике, медицинскому   массажу, неотложной медицинской  помощи,  операционному  делу,   организации   сестринского   дела,  рентгенологии,    сестринскому   делу,    сестринскому   делу    в    педиатрии,    скорой медицинской помощи, стоматологии, стоматологии детской, стоматологии ортопедической, стоматологии терапевтической, стоматологии хирургической, физиотерапии, функциональной диагностике, эпидемиологии,  экспертизе временной нетрудоспособности; </t>
  </si>
  <si>
    <t xml:space="preserve"> -   амбулаторно-поликлиническая медицинская помощь, в том числе:</t>
  </si>
  <si>
    <t xml:space="preserve">     первичная медико-санитарная помощь по: инфекционным болезням, кардиологии, контролю качества медицинской  помощи,    клинической    лабораторной    диагностике, медицинским осмотрам (предрейсовым, послерейсовым), неврологии, общественному здоровью    и   организации   здравоохранения,    оториноларингологии,    офтальмологии, педиатрии,  психотерапии,  рентгенологии,  терапии,  травматологии  и  ортопедии, ультразвуковой диагностике, физиотерапии, функциональной диагностике, хирургии, экспертизе временной нетрудоспособности, эндоскопии, эндокринологии;</t>
  </si>
  <si>
    <t>- женщинам в период беременности, во время и после родов по: акушерству и гинекологии, неонатологии, экспертизе временной нетрудоспособности;</t>
  </si>
  <si>
    <t>- специализированная медицинская помощь по: акушерству и гинекологии, дерматовенерологии, детской хирургии,  контролю качества медицинской помощи,  мануальной терапии, медицинским осмотрам (предварительным, периодическим), медицинскому (наркологическому) освидетельствованию, онкологии, психиатрии, профпатологии, психиатрии-наркологии, стоматологии ортопедической, стоматологии терапевтической, стоматологии хирургической, транспортировке донорской крови и ее компонентов, трансфузиологии, фтизиатрии, экспертизе временной нетрудоспособности, экспертизе на право владения оружием, экспертизе профпригодности, экспертизе наркологической; медицинскому (наркологическому) освидетельстьвованию;</t>
  </si>
  <si>
    <t>- стационарная медицинская помощь, в том числе:</t>
  </si>
  <si>
    <t>первичная медико-санитарная помощь по: анестезиологии и реаниматологии, инфекционным болезням, кардиологии, контролю качества медицинской помощи, клинической лабораторной диагностике, неврологии, педиатрии, рентгенологии, терапии, травматологии и ортопедии, ультразвуковой диагностике, физиотерапии, функциональной диагностике, хирургии, экспертизе временной нетрудоспособности, эндоскопии;</t>
  </si>
  <si>
    <t>женщинам в период беременности, во время и после родов по: акушерству и гинекологии, неонатологии, экспертизе временной нетрудоспособности;</t>
  </si>
  <si>
    <t>- специализированной медицинской помощи по: бактериологии,  детской хирургии, мануальной терапии, общественному здоровью и организации здравоохранения, патологической анатомии, трансфузиологии, экспертизе временной нетрудоспособности, эндоскопии;</t>
  </si>
  <si>
    <t>- фармацевтическая деятельность;</t>
  </si>
  <si>
    <t>- деятельность, связанная с оборотом наркотических средств, психотропных веществ и их прекурсоров;</t>
  </si>
  <si>
    <t>организация и проведение мероприятий по гигиеническому воспитанию населения, пропаганды здорового образа жизни, включая снижение потребления алкоголя и табака;</t>
  </si>
  <si>
    <t>- деятельность, связанная с использованием возбудителей инфекционных заболеваний;</t>
  </si>
  <si>
    <t>- деятельность, связанная с источниками ионизирующего излучения.</t>
  </si>
  <si>
    <t>Реализация указанных видов деятельности осуществляется в соответствии с лицензией в целях обеспечения выполнения государственных заданий на оказание государственных услуг (выполнение работ).</t>
  </si>
  <si>
    <t>1.3. Перечень услуг (работ), осуществляемых на платной основе:</t>
  </si>
  <si>
    <t xml:space="preserve">   (Приложение №1)</t>
  </si>
  <si>
    <t>II. Показатели финансового состояния учреждения</t>
  </si>
  <si>
    <t>Сумма</t>
  </si>
  <si>
    <t xml:space="preserve">из них: </t>
  </si>
  <si>
    <t xml:space="preserve">1.1. Общая балансовая стоимость недвижимого имущества, находящегося в собственности Приморского края, всего </t>
  </si>
  <si>
    <t xml:space="preserve">1.1.1. Стоимость имущества, закрепленного собственником имущества за государственным бюджетным (автономным) учреждением на праве оперативного управления </t>
  </si>
  <si>
    <t xml:space="preserve">1.1.3. Стоимость имущества, приобретенного государственным бюджетным (автономным) учреждением (подразделением) за счет доходов, полученных от платной и иной приносящей доход деятельности </t>
  </si>
  <si>
    <t xml:space="preserve">1.1.4. Остаточная стоимость недвижимого имущества, находящегося в собственности Приморского края </t>
  </si>
  <si>
    <t xml:space="preserve">1.2. Общая балансовая стоимость движимого имущества, находящегося в собственности Приморского края, всего </t>
  </si>
  <si>
    <t xml:space="preserve">1.2.1. Общая балансовая стоимость особо ценного движимого имущества </t>
  </si>
  <si>
    <t xml:space="preserve">1.2.2. Остаточная стоимость особо ценного движимого имущества </t>
  </si>
  <si>
    <t xml:space="preserve">II. Финансовые активы, всего </t>
  </si>
  <si>
    <t xml:space="preserve">III. Обязательства, всего </t>
  </si>
  <si>
    <t xml:space="preserve">3.3.1. По начислениям на выплаты по оплате труда </t>
  </si>
  <si>
    <t xml:space="preserve">3.3.2. По оплате услуг связи </t>
  </si>
  <si>
    <t xml:space="preserve">3.3.3. По оплате транспортных услуг </t>
  </si>
  <si>
    <t xml:space="preserve">3.3.4. По оплате коммунальных услуг </t>
  </si>
  <si>
    <t xml:space="preserve">3.3.5. По оплате услуг по содержанию имущества </t>
  </si>
  <si>
    <t xml:space="preserve">3.3.6. По оплате прочих услуг </t>
  </si>
  <si>
    <t xml:space="preserve">3.3.7. По приобретению основных средств </t>
  </si>
  <si>
    <t xml:space="preserve">3.3.8. По приобретению нематериальных активов </t>
  </si>
  <si>
    <t xml:space="preserve">3.3.9. По приобретению непроизведенных активов </t>
  </si>
  <si>
    <t xml:space="preserve">3.3.10. По приобретению материальных запасов </t>
  </si>
  <si>
    <t xml:space="preserve">3.3.11. По оплате прочих расходов </t>
  </si>
  <si>
    <t xml:space="preserve">3.3.12. По платежам в бюджет </t>
  </si>
  <si>
    <t xml:space="preserve">3.3.13. По прочим расчетам с кредиторами </t>
  </si>
  <si>
    <t>1.1.2. Стоимость имущества, приобретенного государственным бюджетным (автономным) учреждением (подразделением) за счет выделенных собственником имущества учреждения средств</t>
  </si>
  <si>
    <t>1.1. Расчеты (обоснования) расходов на оплату труда на 2017 год (на все должности)</t>
  </si>
  <si>
    <t>(финансовый год (финансовый год и плановый период), на который представлены содержащиеся в документе сведения</t>
  </si>
  <si>
    <t>Код по сводному реестру участников бюджетного процесса, а так же юридических лиц, не являющихся участниками бюджетного процесса</t>
  </si>
  <si>
    <t>052У5599</t>
  </si>
  <si>
    <t>функции и полномочия учредителя  (отраслевой орган)</t>
  </si>
  <si>
    <t>Департамент здравоохранения Приморского края</t>
  </si>
  <si>
    <t>Адрес фактического местонахождения краевого государственного бюджетного учреждения</t>
  </si>
  <si>
    <t>(на последнюю отчетную дату)</t>
  </si>
  <si>
    <t>2.1. Денежные средства учреждения, всего</t>
  </si>
  <si>
    <t>2.1.1 Денежные средства учреждения на счетах</t>
  </si>
  <si>
    <t>2.1.2 Денежные средства учреждения, размещенные на депозиты в кредитной организации</t>
  </si>
  <si>
    <t>2.2 Иные финансовые инструменты</t>
  </si>
  <si>
    <t>2.3 Дебиторская задолженность по доходам, полученным за счет средств краевого бюджета</t>
  </si>
  <si>
    <t>2.4 Дебиторская задолженность по выданным авансам, полученным за счет краевого бюджета всего:</t>
  </si>
  <si>
    <t>2.4.1. По выданным авансам на услуги связи</t>
  </si>
  <si>
    <t xml:space="preserve">2.4.2. По выданным авансам на транспортные услуги </t>
  </si>
  <si>
    <t xml:space="preserve">2.4.3. По выданным авансам на коммунальные услуги </t>
  </si>
  <si>
    <t xml:space="preserve">2.4.4. По выданным авансам на услуги по содержанию имущества </t>
  </si>
  <si>
    <t xml:space="preserve">2.4.5. По выданным авансам на прочие услуги </t>
  </si>
  <si>
    <t xml:space="preserve">2.4.6. По выданным авансам на приобретение основных средств </t>
  </si>
  <si>
    <t xml:space="preserve">2.4.7. По выданным авансам на приобретение нематериальных активов </t>
  </si>
  <si>
    <t xml:space="preserve">2.4.8. По выданным авансам на приобретение непроизведенных активов </t>
  </si>
  <si>
    <t xml:space="preserve">2.4.9. По выданным авансам на приобретение материальных запасов </t>
  </si>
  <si>
    <t xml:space="preserve">2.4.10. По выданным авансам на прочие расходы </t>
  </si>
  <si>
    <t xml:space="preserve">2.5. Дебиторская задолженность по выданным авансам за счет доходов, полученных от платной и иной приносящей доход деятельности, всего: </t>
  </si>
  <si>
    <t xml:space="preserve">2.5.1. По выданным авансам на услуги связи </t>
  </si>
  <si>
    <t xml:space="preserve">2.5.2. По выданным авансам на транспортные услуги </t>
  </si>
  <si>
    <t xml:space="preserve">2.5.3. По выданным авансам на коммунальные услуги </t>
  </si>
  <si>
    <t xml:space="preserve">2.5.4. По выданным авансам на услуги по содержанию имущества </t>
  </si>
  <si>
    <t xml:space="preserve">2.5.5. По выданным авансам на прочие услуги </t>
  </si>
  <si>
    <t xml:space="preserve">2.5.6. По выданным авансам на приобретение основных средств </t>
  </si>
  <si>
    <t xml:space="preserve">2.5.7. По выданным авансам на приобретение нематериальных активов </t>
  </si>
  <si>
    <t xml:space="preserve">2.5.8. По выданным авансам на приобретение непроизведенных активов </t>
  </si>
  <si>
    <t xml:space="preserve">2.5.9. По выданным авансам на приобретение материальных запасов </t>
  </si>
  <si>
    <t xml:space="preserve">2.5.10. По выданным авансам на прочие расходы </t>
  </si>
  <si>
    <t>3.1. Долговые обязательства</t>
  </si>
  <si>
    <t>3.2Просроченная кредиторская задолженность</t>
  </si>
  <si>
    <t>3.3 Кредиторская задолженность по расчетам с поставщиками и подрядчиками за счет средств краевого бюджета, всего:</t>
  </si>
  <si>
    <t xml:space="preserve">3.4. Кредиторская задолженность по расчетам с поставщиками и подрядчиками за счет доходов, полученных от оказания платных услуг (вывполнения работ) и иной приносящей доход деятельности, всего: </t>
  </si>
  <si>
    <t xml:space="preserve">3.4.1. По начислениям на выплаты по оплате труда </t>
  </si>
  <si>
    <t xml:space="preserve">3.4.2. По оплате услуг связи </t>
  </si>
  <si>
    <t xml:space="preserve">3.4.3. По оплате транспортных услуг </t>
  </si>
  <si>
    <t xml:space="preserve">3.4.4. По оплате коммунальных услуг </t>
  </si>
  <si>
    <t xml:space="preserve">3.4.5. По оплате услуг по содержанию имущества </t>
  </si>
  <si>
    <t xml:space="preserve">3.4.6. По оплате прочих услуг </t>
  </si>
  <si>
    <t xml:space="preserve">3.4.7. По приобретению основных средств </t>
  </si>
  <si>
    <t xml:space="preserve">3.4.8. По приобретению нематериальных активов </t>
  </si>
  <si>
    <t xml:space="preserve">3.4.9. По приобретению непроизведенных активов </t>
  </si>
  <si>
    <t xml:space="preserve">3.4.10. По приобретению материальных запасов </t>
  </si>
  <si>
    <t xml:space="preserve">3.4.11. По оплате прочих расходов </t>
  </si>
  <si>
    <t xml:space="preserve">3.4.12. По платежам в бюджет </t>
  </si>
  <si>
    <t xml:space="preserve">3.4.13. По прочим расчетам с кредиторами </t>
  </si>
  <si>
    <t xml:space="preserve">I. Нефинансовые активы, всего: </t>
  </si>
  <si>
    <t>Код видов расходов:</t>
  </si>
  <si>
    <t>7 (ОМС)</t>
  </si>
  <si>
    <t>Источник финансового обеспечения:</t>
  </si>
  <si>
    <t>7 ( ОМС)</t>
  </si>
  <si>
    <t xml:space="preserve">Код видов расходов: </t>
  </si>
  <si>
    <t>Автомобильные масла (тонн)</t>
  </si>
  <si>
    <t>Поставка расходного материала для лаборатории (упаковка)</t>
  </si>
  <si>
    <t>Поставка инфузионных растворов (упаковка)</t>
  </si>
  <si>
    <t>Поставка компьютерных комплектующих и расходных материалов (штук)</t>
  </si>
  <si>
    <t>Поставка нефтепродуктов (литров)</t>
  </si>
  <si>
    <t>Лекарственные препараты (упаковок)</t>
  </si>
  <si>
    <t>Медицинские расходные материалы (упаковок)</t>
  </si>
  <si>
    <t>Поставка сантехники (штук)</t>
  </si>
  <si>
    <t>Канцелярия (штук)</t>
  </si>
  <si>
    <t>Поставка стоматологических материалов (упаковок)</t>
  </si>
  <si>
    <t>Поставка автошин (штук)</t>
  </si>
  <si>
    <t>Поставка дезинфицирующих средств (упаковка)</t>
  </si>
  <si>
    <t>Поставка электрики (штук)</t>
  </si>
  <si>
    <t>Поставка строительных материалов (штук)</t>
  </si>
  <si>
    <t>Медицинское оборудование (до 100 тыс.руб) (штук)</t>
  </si>
  <si>
    <t>из них:                                     1.  Стационарная помощь</t>
  </si>
  <si>
    <t>2. Амбулаторно-поликлиническая помощь</t>
  </si>
  <si>
    <t>3. ДСП</t>
  </si>
  <si>
    <t>4. СМП</t>
  </si>
  <si>
    <t>субсидии на иные цели</t>
  </si>
  <si>
    <t>Коронка пластмассовая, зуб пластмассовый</t>
  </si>
  <si>
    <t>Починка протеза с одной линией отлома (трещина)</t>
  </si>
  <si>
    <t>Снятие одного оттиска из альгинатных материалов</t>
  </si>
  <si>
    <t>Замена или приварка одного зуба в протезе</t>
  </si>
  <si>
    <t>Замена одного кламмера</t>
  </si>
  <si>
    <t>Изготовление гнутого одноплечевого кламмера</t>
  </si>
  <si>
    <t>субсидии на финансовое обеспечение выполнения государственного задания из бюджета Федерального фонда обязательного медицинского страхования</t>
  </si>
  <si>
    <t>возмещение расходов ФСС</t>
  </si>
  <si>
    <t>Иные выплаты персоналу  учреждений, за исключением фонда оплаты труда</t>
  </si>
  <si>
    <t>из них:                                              1. Уплата налога на имущество организаций и земельного налога</t>
  </si>
  <si>
    <t>2. Уплата прочих налогов, сборов (транспортный)</t>
  </si>
  <si>
    <t>средства по обязательному  медицинскому страхованию</t>
  </si>
  <si>
    <t>возвращено расходов прошлых лет</t>
  </si>
  <si>
    <t>безвозмездные
перечисления
организациям</t>
  </si>
  <si>
    <r>
      <rPr>
        <sz val="10"/>
        <rFont val="Times New Roman"/>
        <family val="1"/>
        <charset val="204"/>
      </rPr>
      <t>по КДФ</t>
    </r>
    <r>
      <rPr>
        <sz val="12"/>
        <rFont val="Times New Roman"/>
        <family val="1"/>
      </rPr>
      <t xml:space="preserve">              761</t>
    </r>
  </si>
  <si>
    <r>
      <rPr>
        <sz val="10"/>
        <rFont val="Times New Roman"/>
        <family val="1"/>
        <charset val="204"/>
      </rPr>
      <t>по ОКПО</t>
    </r>
    <r>
      <rPr>
        <sz val="12"/>
        <rFont val="Times New Roman"/>
        <family val="1"/>
      </rPr>
      <t xml:space="preserve">    1914529</t>
    </r>
  </si>
  <si>
    <t>Единица измерения:  рубли</t>
  </si>
  <si>
    <r>
      <rPr>
        <sz val="10"/>
        <rFont val="Times New Roman"/>
        <family val="1"/>
        <charset val="204"/>
      </rPr>
      <t xml:space="preserve">по ОКЕИ </t>
    </r>
    <r>
      <rPr>
        <sz val="12"/>
        <rFont val="Times New Roman"/>
        <family val="1"/>
      </rPr>
      <t xml:space="preserve">           383</t>
    </r>
  </si>
  <si>
    <t>доходы от операций с активами, в том числе:</t>
  </si>
  <si>
    <t>от выбытий материальных запасов</t>
  </si>
  <si>
    <t>Х</t>
  </si>
  <si>
    <t>Возмещено расходов прошлых лет</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</si>
  <si>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t>
  </si>
  <si>
    <t>4 (субсии на выполнение государственного задания)</t>
  </si>
  <si>
    <t>БЮДЖЕТ</t>
  </si>
  <si>
    <t xml:space="preserve">Код видов расходов </t>
  </si>
  <si>
    <t>0</t>
  </si>
  <si>
    <t>120</t>
  </si>
  <si>
    <t>Конверты</t>
  </si>
  <si>
    <t>26,9</t>
  </si>
  <si>
    <t>Санитарно-гигиенические исследования</t>
  </si>
  <si>
    <t>Поставка расходного материала для лаборатории</t>
  </si>
  <si>
    <t>Поставка инфузионных растворов</t>
  </si>
  <si>
    <t>Поставка рентгенологической и флюорографической пленки</t>
  </si>
  <si>
    <t xml:space="preserve">Поставка дезинфицирующих средств </t>
  </si>
  <si>
    <t>Поставка электрики</t>
  </si>
  <si>
    <t>Поставка строительных материалов</t>
  </si>
  <si>
    <t>Медицинское оборудование  (до 100 тыс.руб)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</si>
  <si>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</si>
  <si>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в том числе:                                                                                               по ставке 22,0%</t>
  </si>
  <si>
    <t>2 (поступления от оказания услуг(выполнения работ) на платной основе и иной приносящей доход деятельности</t>
  </si>
  <si>
    <t>852; 244</t>
  </si>
  <si>
    <t>2 (поступления от оказания услуг (выполнения работ) на платной основе и иной приносящей доход деятельности</t>
  </si>
  <si>
    <t xml:space="preserve"> 1.</t>
  </si>
  <si>
    <t>Госпошлина  (арбитражный суд, нотариус, за регистрацию (постановку на учет) автомобиля  и др.)</t>
  </si>
  <si>
    <t>2.</t>
  </si>
  <si>
    <t xml:space="preserve">Проведение  массовых мероприятий (спортивных, медицинских праздников, конкурсов); оплата пеней и неустоек, приобретение подарков к праздникам, оплата материальной помощи </t>
  </si>
  <si>
    <t>Аренда помещений для медработников</t>
  </si>
  <si>
    <t>Кабинет физиопроцедур</t>
  </si>
  <si>
    <t>Канцелярия, хозяйственные товары, моющие и  прочие (штук)</t>
  </si>
  <si>
    <t>Поставка дезинфицирующих средств  (упаковка)</t>
  </si>
  <si>
    <t>Медицинское оборудование</t>
  </si>
  <si>
    <t xml:space="preserve">в соответствии с Федеральным законом от 18 июля 2011 г. № 223-ФЗ «О закупках товаров, работ, услуг отдельными видами юридических лиц»
</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</si>
  <si>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</si>
  <si>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 xml:space="preserve">3. Уплата иных платежей </t>
  </si>
  <si>
    <t>Наименование услуги</t>
  </si>
  <si>
    <t>1. Услуги специалистов поликлиники</t>
  </si>
  <si>
    <t>1.1</t>
  </si>
  <si>
    <t>Профилактический осмотр врача-профпатолога, заключение</t>
  </si>
  <si>
    <t>1.9</t>
  </si>
  <si>
    <t>1.10</t>
  </si>
  <si>
    <t>1.11</t>
  </si>
  <si>
    <t>1.12</t>
  </si>
  <si>
    <t>Прием (осмотр, консультация) врача -офтальмолога первичный</t>
  </si>
  <si>
    <t>1.13</t>
  </si>
  <si>
    <t>Прием (осмотр, консультация) врача -офтальмолога повторный</t>
  </si>
  <si>
    <t>1.14</t>
  </si>
  <si>
    <t>Прием (осмотр, консультация) врача -офтальмолога профилактический</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</si>
  <si>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</si>
  <si>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</si>
  <si>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</si>
  <si>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</si>
  <si>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</si>
  <si>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</si>
  <si>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</si>
  <si>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</si>
  <si>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</si>
  <si>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</si>
  <si>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</si>
  <si>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</si>
  <si>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</si>
  <si>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</si>
  <si>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</si>
  <si>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</si>
  <si>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</si>
  <si>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</si>
  <si>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</si>
  <si>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</si>
  <si>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</si>
  <si>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</si>
  <si>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</si>
  <si>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</si>
  <si>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</si>
  <si>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</si>
  <si>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</si>
  <si>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</si>
  <si>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</si>
  <si>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</si>
  <si>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</si>
  <si>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</si>
  <si>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</si>
  <si>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</si>
  <si>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</si>
  <si>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</si>
  <si>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</si>
  <si>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</si>
  <si>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</si>
  <si>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Прием (осмотр,консультация) врача - психиатра первичный</t>
  </si>
  <si>
    <t>1.54</t>
  </si>
  <si>
    <t>Прием (осмотр,консультация) врача - психиатра  повторный</t>
  </si>
  <si>
    <t>1.55</t>
  </si>
  <si>
    <t>1.56</t>
  </si>
  <si>
    <t>Прием (осмотр,консультация) врача - фтизиатра первичный</t>
  </si>
  <si>
    <t>1.57</t>
  </si>
  <si>
    <t>Прием (осмотр,консультация) врача - фтизиатра  повторный</t>
  </si>
  <si>
    <t>1.58</t>
  </si>
  <si>
    <t>Прием (осмотр,консультация) врача - фтизиатра профилактический</t>
  </si>
  <si>
    <t>1.59</t>
  </si>
  <si>
    <t>1.60</t>
  </si>
  <si>
    <t>2. Услуги специалистов педиатрического отделения поликлиники</t>
  </si>
  <si>
    <t>3. Услуги специалистов акушеров-гинекологов</t>
  </si>
  <si>
    <t>3.3</t>
  </si>
  <si>
    <t>3.4</t>
  </si>
  <si>
    <t>3.5</t>
  </si>
  <si>
    <t>3.6</t>
  </si>
  <si>
    <t>3.7</t>
  </si>
  <si>
    <t>3.8</t>
  </si>
  <si>
    <t>3.9</t>
  </si>
  <si>
    <t>3.10</t>
  </si>
  <si>
    <t>3.11</t>
  </si>
  <si>
    <t>3.12</t>
  </si>
  <si>
    <t>3.13</t>
  </si>
  <si>
    <t>3.14</t>
  </si>
  <si>
    <t>3.15</t>
  </si>
  <si>
    <t>3.16</t>
  </si>
  <si>
    <t>3.17</t>
  </si>
  <si>
    <r>
      <t xml:space="preserve">Операции на НПО </t>
    </r>
    <r>
      <rPr>
        <b/>
        <sz val="11"/>
        <color theme="1"/>
        <rFont val="Times New Roman"/>
        <family val="1"/>
        <charset val="204"/>
      </rPr>
      <t>*</t>
    </r>
  </si>
  <si>
    <t>3.18</t>
  </si>
  <si>
    <t>3.19</t>
  </si>
  <si>
    <r>
      <t xml:space="preserve">Оперативное родоразрешение (при отсутствии полиса ОМС) </t>
    </r>
    <r>
      <rPr>
        <b/>
        <sz val="11"/>
        <color theme="1"/>
        <rFont val="Times New Roman"/>
        <family val="1"/>
        <charset val="204"/>
      </rPr>
      <t>*</t>
    </r>
  </si>
  <si>
    <t>3.20</t>
  </si>
  <si>
    <t>4. Услуги специалистов стоматологического отделения поликлиники</t>
  </si>
  <si>
    <t>4.1</t>
  </si>
  <si>
    <t>4.2</t>
  </si>
  <si>
    <t>4.3</t>
  </si>
  <si>
    <t>4.4</t>
  </si>
  <si>
    <t>4.5</t>
  </si>
  <si>
    <t>4.6</t>
  </si>
  <si>
    <t>4.7</t>
  </si>
  <si>
    <t>4.8</t>
  </si>
  <si>
    <t>4.9</t>
  </si>
  <si>
    <t>4.10</t>
  </si>
  <si>
    <t>4.11</t>
  </si>
  <si>
    <t>4.12</t>
  </si>
  <si>
    <t>4.13</t>
  </si>
  <si>
    <t>4.14</t>
  </si>
  <si>
    <t>4.15</t>
  </si>
  <si>
    <t>4.16</t>
  </si>
  <si>
    <t>4.17</t>
  </si>
  <si>
    <t>4.18</t>
  </si>
  <si>
    <t>4.19</t>
  </si>
  <si>
    <t>4.20</t>
  </si>
  <si>
    <t>4.21</t>
  </si>
  <si>
    <t>4.22</t>
  </si>
  <si>
    <t>4.23</t>
  </si>
  <si>
    <t>5. Зубное протезирование</t>
  </si>
  <si>
    <t>5.2</t>
  </si>
  <si>
    <t>5.3</t>
  </si>
  <si>
    <t>5.4</t>
  </si>
  <si>
    <t>5.5</t>
  </si>
  <si>
    <t>5.6</t>
  </si>
  <si>
    <t>5.7</t>
  </si>
  <si>
    <t>5.8</t>
  </si>
  <si>
    <t>5.9</t>
  </si>
  <si>
    <t>Изготовление одной литой лапки(ответвление)</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</si>
  <si>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</si>
  <si>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</si>
  <si>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</si>
  <si>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</si>
  <si>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</si>
  <si>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</si>
  <si>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</si>
  <si>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</si>
  <si>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</si>
  <si>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</si>
  <si>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</si>
  <si>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</si>
  <si>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</si>
  <si>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</si>
  <si>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</si>
  <si>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</si>
  <si>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</si>
  <si>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</si>
  <si>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</si>
  <si>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</si>
  <si>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</si>
  <si>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</si>
  <si>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</si>
  <si>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</si>
  <si>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</si>
  <si>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</si>
  <si>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</si>
  <si>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</si>
  <si>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</si>
  <si>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</si>
  <si>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</si>
  <si>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6.  Ультразвуковая диагностика</t>
  </si>
  <si>
    <t>6.1</t>
  </si>
  <si>
    <t>6.2</t>
  </si>
  <si>
    <t>Ультразвуковое исследование органов брюшной полости</t>
  </si>
  <si>
    <t>6.3</t>
  </si>
  <si>
    <t>6.4</t>
  </si>
  <si>
    <t>6.5</t>
  </si>
  <si>
    <t>6.6</t>
  </si>
  <si>
    <t>6.7</t>
  </si>
  <si>
    <t>6.8</t>
  </si>
  <si>
    <t>6.9</t>
  </si>
  <si>
    <t>6.10</t>
  </si>
  <si>
    <t>6.11</t>
  </si>
  <si>
    <t>6.12</t>
  </si>
  <si>
    <t>6.13</t>
  </si>
  <si>
    <t>6.14</t>
  </si>
  <si>
    <t>6.15</t>
  </si>
  <si>
    <t>6.16</t>
  </si>
  <si>
    <t>Ультразвуковое исследование сосудов (1 бассейн)</t>
  </si>
  <si>
    <t>6.17</t>
  </si>
  <si>
    <t>6.18</t>
  </si>
  <si>
    <t>6.19</t>
  </si>
  <si>
    <t>6.20</t>
  </si>
  <si>
    <t>6.21</t>
  </si>
  <si>
    <t>6.22</t>
  </si>
  <si>
    <t>6.23</t>
  </si>
  <si>
    <t>6.24</t>
  </si>
  <si>
    <t>6.25</t>
  </si>
  <si>
    <t>6.26</t>
  </si>
  <si>
    <t>6.27</t>
  </si>
  <si>
    <t>6.28</t>
  </si>
  <si>
    <t>6.29</t>
  </si>
  <si>
    <t>7. Массаж</t>
  </si>
  <si>
    <t>7.16</t>
  </si>
  <si>
    <t>7.17</t>
  </si>
  <si>
    <t>7.18</t>
  </si>
  <si>
    <t>7.19</t>
  </si>
  <si>
    <t>7.20</t>
  </si>
  <si>
    <t>7.21</t>
  </si>
  <si>
    <t>7.22</t>
  </si>
  <si>
    <t>7.23</t>
  </si>
  <si>
    <t>7.24</t>
  </si>
  <si>
    <t>7.25</t>
  </si>
  <si>
    <t>7.26</t>
  </si>
  <si>
    <t>8. Физиотерапия</t>
  </si>
  <si>
    <t>8.1</t>
  </si>
  <si>
    <t>8.2</t>
  </si>
  <si>
    <t>8.3</t>
  </si>
  <si>
    <t>8.4</t>
  </si>
  <si>
    <t>8.5</t>
  </si>
  <si>
    <t>8.6</t>
  </si>
  <si>
    <t>8.7</t>
  </si>
  <si>
    <t>8.8</t>
  </si>
  <si>
    <t>8.9</t>
  </si>
  <si>
    <t xml:space="preserve">  9. Рентгенология</t>
  </si>
  <si>
    <t>9.1</t>
  </si>
  <si>
    <t>9.2</t>
  </si>
  <si>
    <t>9.3</t>
  </si>
  <si>
    <t>9.4</t>
  </si>
  <si>
    <t>9.5</t>
  </si>
  <si>
    <t>9.6</t>
  </si>
  <si>
    <t>9.7</t>
  </si>
  <si>
    <t>9.8</t>
  </si>
  <si>
    <t>9.9</t>
  </si>
  <si>
    <t>9.10</t>
  </si>
  <si>
    <t>9.11</t>
  </si>
  <si>
    <t>9.12</t>
  </si>
  <si>
    <t>9.13</t>
  </si>
  <si>
    <t>9.14</t>
  </si>
  <si>
    <t>9.15</t>
  </si>
  <si>
    <t>9.16</t>
  </si>
  <si>
    <t>9.17</t>
  </si>
  <si>
    <t>9.18</t>
  </si>
  <si>
    <t>Рентгенография (обзорная) грудной клетки, в 1 проекции</t>
  </si>
  <si>
    <t>9.19</t>
  </si>
  <si>
    <t>Рентгенография (обзорная) грудной клетки, в 2 проекциях</t>
  </si>
  <si>
    <t>9.20</t>
  </si>
  <si>
    <t>9.21</t>
  </si>
  <si>
    <t>9.22</t>
  </si>
  <si>
    <t>9.23</t>
  </si>
  <si>
    <t>9.24</t>
  </si>
  <si>
    <t>9.25</t>
  </si>
  <si>
    <t>9.26</t>
  </si>
  <si>
    <t>9.27</t>
  </si>
  <si>
    <t>9.28</t>
  </si>
  <si>
    <t>9.29</t>
  </si>
  <si>
    <t>9.30</t>
  </si>
  <si>
    <t>9.31</t>
  </si>
  <si>
    <t>10.  Эндоскопия</t>
  </si>
  <si>
    <t>10.1</t>
  </si>
  <si>
    <t>10.2</t>
  </si>
  <si>
    <t>10.3</t>
  </si>
  <si>
    <t>10.4</t>
  </si>
  <si>
    <t>10.5</t>
  </si>
  <si>
    <t>10.6</t>
  </si>
  <si>
    <t>10.7</t>
  </si>
  <si>
    <t>10.8</t>
  </si>
  <si>
    <t>10.9</t>
  </si>
  <si>
    <t>10.10</t>
  </si>
  <si>
    <t>10.11</t>
  </si>
  <si>
    <t>10.12</t>
  </si>
  <si>
    <t>10.13</t>
  </si>
  <si>
    <t>Тотальная внутривенная анестезия по желанию пациента</t>
  </si>
  <si>
    <t>11. Функциональная диагностика</t>
  </si>
  <si>
    <t>11.1</t>
  </si>
  <si>
    <t>11.2</t>
  </si>
  <si>
    <t>11.3</t>
  </si>
  <si>
    <t>11.4</t>
  </si>
  <si>
    <t>Спирография</t>
  </si>
  <si>
    <t>11.5</t>
  </si>
  <si>
    <t>Электроэнцефалография</t>
  </si>
  <si>
    <t>12. Услуги клинической лаборатории</t>
  </si>
  <si>
    <t>12.1.   Исследование крови</t>
  </si>
  <si>
    <t>12.1.1</t>
  </si>
  <si>
    <t>Общий клинический анализ крови (5 показателей)</t>
  </si>
  <si>
    <t>12.1.2</t>
  </si>
  <si>
    <t>Общий клинический анализ крови (развернутый)</t>
  </si>
  <si>
    <t>12.1.3</t>
  </si>
  <si>
    <t>Исследование уровня гемоглобина в крови</t>
  </si>
  <si>
    <t>12.1.4</t>
  </si>
  <si>
    <t>Исследование уровня лейкоцитов в крови</t>
  </si>
  <si>
    <t>12.1.5</t>
  </si>
  <si>
    <t>Исследование уровня эритроцитов в крови</t>
  </si>
  <si>
    <t>12.1.6</t>
  </si>
  <si>
    <t>Исследование уровня тромбоцитов в крови</t>
  </si>
  <si>
    <t>12.1.7</t>
  </si>
  <si>
    <t>Исследование уровня ретикулоцитов в крови</t>
  </si>
  <si>
    <t>12.1.8</t>
  </si>
  <si>
    <t>Подсчет лейкоформулы крови</t>
  </si>
  <si>
    <t>12.1.9</t>
  </si>
  <si>
    <t>Просмотр мазка крови для анализа аномалий эритроцитов (базофильная зернистость эритроцитов, тельца гейнца и т.д.)</t>
  </si>
  <si>
    <t>12.1.10</t>
  </si>
  <si>
    <t>Определение цветного показателя</t>
  </si>
  <si>
    <t>12.1.11</t>
  </si>
  <si>
    <t>Оценка гематокрита</t>
  </si>
  <si>
    <t>12.1.12</t>
  </si>
  <si>
    <t>Исследование времени кровотечения (ДК) и свертываемости (ВСК)</t>
  </si>
  <si>
    <t>12.1.13</t>
  </si>
  <si>
    <t>Определение скорости оседания эритроцитов (СОЭ)</t>
  </si>
  <si>
    <t>12.2.    Исследование мочи</t>
  </si>
  <si>
    <t>12.2.1</t>
  </si>
  <si>
    <t>12.2.2</t>
  </si>
  <si>
    <t>12.2.3</t>
  </si>
  <si>
    <t>Исследование уровня креатинина в моче (проба Реберга)</t>
  </si>
  <si>
    <t>12.2.4</t>
  </si>
  <si>
    <t>Определение физических свойств мочи</t>
  </si>
  <si>
    <t>12.2.5</t>
  </si>
  <si>
    <t>Определение объема мочи</t>
  </si>
  <si>
    <t>12.2.6</t>
  </si>
  <si>
    <t>Определение удельного веса мочи</t>
  </si>
  <si>
    <t>12.2.7</t>
  </si>
  <si>
    <t>Определение белка в моче</t>
  </si>
  <si>
    <t>12.2.8</t>
  </si>
  <si>
    <t>Определение глюкозы в моче</t>
  </si>
  <si>
    <t>12.2.9</t>
  </si>
  <si>
    <t>Обнаружение в моче кетоновых тел</t>
  </si>
  <si>
    <t>12.2.10</t>
  </si>
  <si>
    <t>Микроскопическое исследование осадка мочи</t>
  </si>
  <si>
    <t>12.2.11</t>
  </si>
  <si>
    <t>Исследование на микроальбуминурию</t>
  </si>
  <si>
    <t>12.2.12</t>
  </si>
  <si>
    <t>Определение белка в суточной моче</t>
  </si>
  <si>
    <t>12.2.13</t>
  </si>
  <si>
    <t>Исследование мочи на микобактерии туберкулеза (МБТ)</t>
  </si>
  <si>
    <t>12.2.14</t>
  </si>
  <si>
    <t>12.3.   Исследование кала</t>
  </si>
  <si>
    <t>12.3.1</t>
  </si>
  <si>
    <t>12.3.2</t>
  </si>
  <si>
    <t>Исследование физических свойств кала</t>
  </si>
  <si>
    <t>12.3.3</t>
  </si>
  <si>
    <t>Микроскопическое исследование кала на простейшие</t>
  </si>
  <si>
    <t>12.3.4</t>
  </si>
  <si>
    <t>12.3.5</t>
  </si>
  <si>
    <t>Исследование кала на простейшие и яйца глистов, личинки гельминтов</t>
  </si>
  <si>
    <t>12.3.6</t>
  </si>
  <si>
    <t>12.4.   Исследование мокроты</t>
  </si>
  <si>
    <t>12.4.1</t>
  </si>
  <si>
    <t>Общее исследование мокроты</t>
  </si>
  <si>
    <t>12.4.2</t>
  </si>
  <si>
    <t>Определение физических свойств мокроты</t>
  </si>
  <si>
    <t>12.4.3</t>
  </si>
  <si>
    <t>Определение химических свойств мокроты</t>
  </si>
  <si>
    <t>12.4.4</t>
  </si>
  <si>
    <t>Микроскопическое исследование нативного и окрашенного препарата мокроты</t>
  </si>
  <si>
    <t>12.4.5</t>
  </si>
  <si>
    <t>Микроскопическое исследование мазков мокроты на микобактерии туберкулеза (МБТ)</t>
  </si>
  <si>
    <t>12.5.  Клинические исследования</t>
  </si>
  <si>
    <t>12.5.1</t>
  </si>
  <si>
    <t>12.5.2</t>
  </si>
  <si>
    <t>Микроскопическое исследование отделяемого женских органов на гонококк</t>
  </si>
  <si>
    <t>12.5.3</t>
  </si>
  <si>
    <t>Микроскопическое исследование отделяемого женских органов на бледную трепонему</t>
  </si>
  <si>
    <t>12.5.4</t>
  </si>
  <si>
    <t>Цитологическое исследование отделяемого женских органов на атипические клетки (АК)</t>
  </si>
  <si>
    <t>12.5.5</t>
  </si>
  <si>
    <t>12.6.  Серологические исследования</t>
  </si>
  <si>
    <t>12.6.1</t>
  </si>
  <si>
    <t>12.6.2</t>
  </si>
  <si>
    <t>12.6.3</t>
  </si>
  <si>
    <t>ЭДС (экспресс диагностика сифилиса)</t>
  </si>
  <si>
    <t>12.6.4</t>
  </si>
  <si>
    <t>ИФА на сифилис (иммуноферментный анализ)</t>
  </si>
  <si>
    <t>12.6.5</t>
  </si>
  <si>
    <t>12.7.   Биохимические исследования</t>
  </si>
  <si>
    <t>12.7.1</t>
  </si>
  <si>
    <t>Биохимический общетерапевтический анализ крови (9 показателей)</t>
  </si>
  <si>
    <t>12.7.2</t>
  </si>
  <si>
    <t>Определение крови на сахар</t>
  </si>
  <si>
    <t>12.7.3</t>
  </si>
  <si>
    <t>12.7.4</t>
  </si>
  <si>
    <t>12.7.5</t>
  </si>
  <si>
    <t>12.7.6</t>
  </si>
  <si>
    <t>12.7.7</t>
  </si>
  <si>
    <t>12.7.8</t>
  </si>
  <si>
    <t>12.7.9</t>
  </si>
  <si>
    <t>12.7.10</t>
  </si>
  <si>
    <t>12.7.11</t>
  </si>
  <si>
    <t>Определение билирубина общего</t>
  </si>
  <si>
    <t>12.7.12</t>
  </si>
  <si>
    <t>12.7.13</t>
  </si>
  <si>
    <t>12.7.14</t>
  </si>
  <si>
    <t>Определение щелочной фосфатазы (ЩФ)</t>
  </si>
  <si>
    <t>12.7.15</t>
  </si>
  <si>
    <t>12.7.16</t>
  </si>
  <si>
    <t>Определение лактатдегидрогеназы (ЛДГ)</t>
  </si>
  <si>
    <t>12.7.17</t>
  </si>
  <si>
    <t>12.7.18</t>
  </si>
  <si>
    <t>Определение гамма-глютаминтрансферазы (ГГТ)</t>
  </si>
  <si>
    <t>12.7.19</t>
  </si>
  <si>
    <t>12.7.20</t>
  </si>
  <si>
    <t>Определение липидопротеидов низкой плотности (ЛПНП)</t>
  </si>
  <si>
    <t>12.7.21</t>
  </si>
  <si>
    <t>Определение липидопротеидов высокой плотности (ЛПВП)</t>
  </si>
  <si>
    <t>12.7.22</t>
  </si>
  <si>
    <t>Определение триглицеридов (ТГ)</t>
  </si>
  <si>
    <t>12.7.23</t>
  </si>
  <si>
    <t>12.7.24</t>
  </si>
  <si>
    <t>12.7.25</t>
  </si>
  <si>
    <t>12.7.26</t>
  </si>
  <si>
    <t>12.7.27</t>
  </si>
  <si>
    <t>12.7.28</t>
  </si>
  <si>
    <t>Коагулограмма (исследование системы гемостаза)</t>
  </si>
  <si>
    <t>12.7.29</t>
  </si>
  <si>
    <t>12.7.30</t>
  </si>
  <si>
    <t>12.7.31</t>
  </si>
  <si>
    <t>Протромбиновое время (индекс) ПТВ, ПТН</t>
  </si>
  <si>
    <t>12.7.32</t>
  </si>
  <si>
    <t>12.7.33</t>
  </si>
  <si>
    <t>Определение серомукоида</t>
  </si>
  <si>
    <t>12.7.34</t>
  </si>
  <si>
    <t>Определение сиаловых кислот</t>
  </si>
  <si>
    <t>12.7.35</t>
  </si>
  <si>
    <t>Ревмопробы</t>
  </si>
  <si>
    <t>12.7.36</t>
  </si>
  <si>
    <t>Определение активированного частичного тромбопластинового времени (АЧТВ)</t>
  </si>
  <si>
    <t>13.  Услуги лаборатории (ИФА)</t>
  </si>
  <si>
    <t>13.1</t>
  </si>
  <si>
    <t>13.2</t>
  </si>
  <si>
    <t>Потверждение наличия антител классов M, G, IgG к вирусу гепатита С  в крови</t>
  </si>
  <si>
    <t>13.3</t>
  </si>
  <si>
    <t>13.4</t>
  </si>
  <si>
    <t>Потверждение наличия антигена к вирусу гепатита В (НbsAg Hepatitis B virus) в крови</t>
  </si>
  <si>
    <t>13.5</t>
  </si>
  <si>
    <t>Определение антител и антигена  к вирусу иммунодефицита человека ВИЧ-1, 2 в крови</t>
  </si>
  <si>
    <t>13.6</t>
  </si>
  <si>
    <t>Определение суммарных антител к бледной трепонеме (Treponema pallidum) в крови  на сифилис</t>
  </si>
  <si>
    <t>13.7</t>
  </si>
  <si>
    <t>13.8</t>
  </si>
  <si>
    <t>13.9</t>
  </si>
  <si>
    <t>Определение иммуноглобулинов класса G к антигенам Fscaris Lumbricoioies аскариды в крови</t>
  </si>
  <si>
    <t>13.10</t>
  </si>
  <si>
    <t>13.11</t>
  </si>
  <si>
    <t>13.12</t>
  </si>
  <si>
    <t>13.13</t>
  </si>
  <si>
    <t>13.14</t>
  </si>
  <si>
    <t>Определение  Ig M к вирусу клещевого энцефалита в крови (ВКЭ)</t>
  </si>
  <si>
    <t>13.15</t>
  </si>
  <si>
    <t>Определение  Ig G к вирусу клещевого энцефалита в крови (ВКЭ)</t>
  </si>
  <si>
    <t>13.16</t>
  </si>
  <si>
    <t>Определение  Ig M к вирусу клещевого боррелиоза в крови (ВКЭ)</t>
  </si>
  <si>
    <t>13.17</t>
  </si>
  <si>
    <t>Определение  Ig G к вирусу клещевого боррелиоза в крови (ВКЭ)</t>
  </si>
  <si>
    <t>13.18</t>
  </si>
  <si>
    <t>Исследование уровня тиреотропного гормона (ТТГ) в крови</t>
  </si>
  <si>
    <t>13.19</t>
  </si>
  <si>
    <t>13.20</t>
  </si>
  <si>
    <t>Исследование уровня общего тироксина (Т4) сыворотки крови</t>
  </si>
  <si>
    <t>13.21</t>
  </si>
  <si>
    <t>13.22</t>
  </si>
  <si>
    <t>13.23</t>
  </si>
  <si>
    <t>13.24</t>
  </si>
  <si>
    <t>13.25</t>
  </si>
  <si>
    <t>13.26</t>
  </si>
  <si>
    <t>13.27</t>
  </si>
  <si>
    <t>13.28</t>
  </si>
  <si>
    <t>13.29</t>
  </si>
  <si>
    <t>13.30</t>
  </si>
  <si>
    <t>13.31</t>
  </si>
  <si>
    <t>13.32</t>
  </si>
  <si>
    <t>13.33</t>
  </si>
  <si>
    <t>13.34</t>
  </si>
  <si>
    <t>13.35</t>
  </si>
  <si>
    <t>13.36</t>
  </si>
  <si>
    <t>13.37</t>
  </si>
  <si>
    <t xml:space="preserve"> Определение онкомаркеров в крови</t>
  </si>
  <si>
    <t>13.37.1</t>
  </si>
  <si>
    <t>13.37.2</t>
  </si>
  <si>
    <t>Исследование уровня общего ПСА в крови</t>
  </si>
  <si>
    <t>13.37.3</t>
  </si>
  <si>
    <t>Исследование уровня свободной фракции ПСА в крови</t>
  </si>
  <si>
    <t>13.37.4</t>
  </si>
  <si>
    <t>13.37.5</t>
  </si>
  <si>
    <t>Исследование уровня АФП альфа-фетопроротеина (беременность, печень) в крови</t>
  </si>
  <si>
    <t>13.37.6</t>
  </si>
  <si>
    <t>13.37.7</t>
  </si>
  <si>
    <t>13.37.8</t>
  </si>
  <si>
    <t>Исследование уровня  СА - 15-3 в крови</t>
  </si>
  <si>
    <t>13.37.9</t>
  </si>
  <si>
    <t>Исследование уровня  CYFRA - 21-1 в крови</t>
  </si>
  <si>
    <t>13.37.10</t>
  </si>
  <si>
    <t>Исследование уровня  ферритина в крови</t>
  </si>
  <si>
    <t>13.37.11</t>
  </si>
  <si>
    <t>Определение антител к ХГЧ (хроническому гонадотропину) в крови</t>
  </si>
  <si>
    <t>14. Услуги лаборатории клинической бактериологии</t>
  </si>
  <si>
    <t>14.1</t>
  </si>
  <si>
    <t>14.2</t>
  </si>
  <si>
    <t>14.3</t>
  </si>
  <si>
    <t>14.4</t>
  </si>
  <si>
    <t>14.5</t>
  </si>
  <si>
    <t>14.6</t>
  </si>
  <si>
    <t>Микробиологическое исследование крови на облигатные анаэробные микроорганизмы (серологическое обследование на брюшной тиф)</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</si>
  <si>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</si>
  <si>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</si>
  <si>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</si>
  <si>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</si>
  <si>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</si>
  <si>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</si>
  <si>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</si>
  <si>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</si>
  <si>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</si>
  <si>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</si>
  <si>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</si>
  <si>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</si>
  <si>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</si>
  <si>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</si>
  <si>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</si>
  <si>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</si>
  <si>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</si>
  <si>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</si>
  <si>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</si>
  <si>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</si>
  <si>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</si>
  <si>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</si>
  <si>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</si>
  <si>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</si>
  <si>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</si>
  <si>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Бактериологическое исследование отделяемого мазка из  зева и носа на патогенный стафилококк</t>
  </si>
  <si>
    <t>14.32</t>
  </si>
  <si>
    <t>14.33</t>
  </si>
  <si>
    <t>14.34</t>
  </si>
  <si>
    <t>14.35</t>
  </si>
  <si>
    <t>14.36</t>
  </si>
  <si>
    <t>14.37</t>
  </si>
  <si>
    <t>14.38</t>
  </si>
  <si>
    <t>14.39</t>
  </si>
  <si>
    <t>14.40</t>
  </si>
  <si>
    <t>14.41</t>
  </si>
  <si>
    <t>14.42</t>
  </si>
  <si>
    <t>14.43</t>
  </si>
  <si>
    <t>14.44</t>
  </si>
  <si>
    <t>14.45</t>
  </si>
  <si>
    <t>14.46</t>
  </si>
  <si>
    <t>14.47</t>
  </si>
  <si>
    <t>Бактериологическое исследование на носительство кишечных инфекций</t>
  </si>
  <si>
    <t>14.48</t>
  </si>
  <si>
    <t>14.49</t>
  </si>
  <si>
    <t>14.50</t>
  </si>
  <si>
    <t>14.51</t>
  </si>
  <si>
    <t>14.52</t>
  </si>
  <si>
    <t>14.53</t>
  </si>
  <si>
    <t>14.54</t>
  </si>
  <si>
    <t>15. Услуги наркологического кабинета.</t>
  </si>
  <si>
    <t>15.1</t>
  </si>
  <si>
    <t>15.2</t>
  </si>
  <si>
    <t>15.3</t>
  </si>
  <si>
    <t>15.4</t>
  </si>
  <si>
    <t>15.5</t>
  </si>
  <si>
    <t>Определение карбогидрат-дефицитного трансферрина (CDT) в сыворотке крови методом капиллярного электрофореза)</t>
  </si>
  <si>
    <t>15.6</t>
  </si>
  <si>
    <t>15.6.1</t>
  </si>
  <si>
    <t>Исследование уровня лекарственных средств и их метаболитов в моче:                                                                                                                                                                                                                                                                               - на алкоголь</t>
  </si>
  <si>
    <t>15.6.2</t>
  </si>
  <si>
    <t>Исследование уровня лекарственных средств и их метаболитов в моче:                                                                                                                                                                                                                                                                               - поиск наркотических и психоактивных веществ</t>
  </si>
  <si>
    <t>15.6.3</t>
  </si>
  <si>
    <t>Исследование уровня лекарственных средств и их метаболитов в моче:                                                                                                                                                                                                                                                                               - исследование на наркотическое вещество (1 вид)</t>
  </si>
  <si>
    <t>15.6.4</t>
  </si>
  <si>
    <t>Исследование уровня лекарственных средств и их метаболитов в моче:                                                                                                                                                                                                                                                                               - исследование на никотин</t>
  </si>
  <si>
    <t>15.7</t>
  </si>
  <si>
    <t>Углубленное медицинское освидетельствование на наличие наркотического опьянения в крови:</t>
  </si>
  <si>
    <t>15.7.1</t>
  </si>
  <si>
    <t>Исследование уровня эталона в сыворотке крови</t>
  </si>
  <si>
    <t>16. Услуги процедурного кабинета.</t>
  </si>
  <si>
    <t>16.1</t>
  </si>
  <si>
    <t>16.2</t>
  </si>
  <si>
    <t>16.3</t>
  </si>
  <si>
    <t>16.4</t>
  </si>
  <si>
    <t>17. Паталогоанатомическое отделение</t>
  </si>
  <si>
    <t>17.1</t>
  </si>
  <si>
    <t>17.2</t>
  </si>
  <si>
    <t>17.3</t>
  </si>
  <si>
    <t>18. Прочие услуги</t>
  </si>
  <si>
    <t>18.1</t>
  </si>
  <si>
    <t>18.2</t>
  </si>
  <si>
    <t>Предоставление госпитализированным гражданам услуг с элементами повышенной сервисности ( телевизор,  холодильник) в отдельной палате.  ) 1 койко -день.</t>
  </si>
  <si>
    <t>18.3</t>
  </si>
  <si>
    <t>18.4</t>
  </si>
  <si>
    <t>19. Транспортировка  больного в порядке личной инициативе родственников (стоимость зависит от фактических затрат и км.)**</t>
  </si>
  <si>
    <t>19.1</t>
  </si>
  <si>
    <t>19.2</t>
  </si>
  <si>
    <t>19.3</t>
  </si>
  <si>
    <t>с.Михайловка</t>
  </si>
  <si>
    <t>19.4</t>
  </si>
  <si>
    <t>19.5</t>
  </si>
  <si>
    <t>19.6</t>
  </si>
  <si>
    <t>20. Медицинские осмотры</t>
  </si>
  <si>
    <t>20.1</t>
  </si>
  <si>
    <t>Медицинский осмотр на право управления транспортными средствами (категории/подкатегории: А, А1, В, ВЕ, В1, М без клинических исследований)</t>
  </si>
  <si>
    <t>20.2</t>
  </si>
  <si>
    <t>Медицинский осмотр на право управления транспортными средствами (категории/подкатегории: А, А1, В, ВЕ, В1, М с клиническими исследованиями)</t>
  </si>
  <si>
    <t>20.3</t>
  </si>
  <si>
    <t>Медицинский осмотр на право управления транспортными средствами (категории/подкатегории: C, D, CE, DE, Tm, Tb, C1, D1, C1E, D1E  без клинических исследований)</t>
  </si>
  <si>
    <t>20.4</t>
  </si>
  <si>
    <t>Медицинский осмотр на право управления транспортными средствами (категории/подкатегории: C, D, CE, DE, Tm, Tb, C1, D1, C1E, D1E с клиническими исследованиями)</t>
  </si>
  <si>
    <t>20.5</t>
  </si>
  <si>
    <t>Клинические исследования для обязательного медицинского освидетельствования водителей транспортных средств (кандидатов в водители транспортных средств)</t>
  </si>
  <si>
    <t>20.6</t>
  </si>
  <si>
    <t>20.7</t>
  </si>
  <si>
    <t>20.8</t>
  </si>
  <si>
    <t>Медицинское освидетельствование граждан для получения вида на жительство</t>
  </si>
  <si>
    <t>Государственная пошлина</t>
  </si>
  <si>
    <t>Марка транспортного средства  УАЗ (6единицы)</t>
  </si>
  <si>
    <t>Марка транспортного средства  УАЗ (5 единицы)</t>
  </si>
  <si>
    <t>Марка транспортного средства  Фиат Дукато                                 (2 единицы)</t>
  </si>
  <si>
    <t>Марка транспортного средства  Ниссан Эльгранд                       (1 единица)</t>
  </si>
  <si>
    <t>Марка транспортного средства  Тойота "Ленд Крузер"                  (1 единица)</t>
  </si>
  <si>
    <t>35</t>
  </si>
  <si>
    <t>Зуб пластмассовый в базис протеза</t>
  </si>
  <si>
    <t>5.41</t>
  </si>
  <si>
    <t>Кламмер</t>
  </si>
  <si>
    <t>Микроскопическое исследование кала на яйца глистов / Энтеробиоз</t>
  </si>
  <si>
    <r>
      <t xml:space="preserve">*   </t>
    </r>
    <r>
      <rPr>
        <sz val="10"/>
        <color indexed="8"/>
        <rFont val="Times New Roman"/>
        <family val="1"/>
        <charset val="204"/>
      </rPr>
      <t>стоимость расчитывается согласно КМУ, по тарифам ОМС.</t>
    </r>
  </si>
  <si>
    <t>** в зависимости от стоимости ГСМ</t>
  </si>
  <si>
    <t>V. Справочная информация</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</si>
  <si>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</si>
  <si>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</si>
  <si>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 xml:space="preserve">                                             </t>
  </si>
  <si>
    <t>И.о. директора департамента здравоохранения</t>
  </si>
  <si>
    <t>__________________  Т.Л. Курченко</t>
  </si>
  <si>
    <t xml:space="preserve">Главный бухгалтер </t>
  </si>
  <si>
    <t>Зубченко Н.В.</t>
  </si>
  <si>
    <t>Главный бухгалтер краевого государственного бюджетного учреждения</t>
  </si>
  <si>
    <t>_______________ Н.В. Зубченко</t>
  </si>
  <si>
    <t>________________К.Н. Залуцкая</t>
  </si>
  <si>
    <t>Залуцкая К.Н.</t>
  </si>
  <si>
    <t>Холодильники, кондиционеры, мебель, техника</t>
  </si>
  <si>
    <t>Врио главного врача КГБУЗ "Черниговская ЦРБ"                              К.Н. Залуцкая</t>
  </si>
  <si>
    <t xml:space="preserve">Исполнитель                                                                                            ________________А.А. Скрыпник </t>
  </si>
  <si>
    <t>на каждую дату корректировки ПФХД остаток должен быть 0</t>
  </si>
  <si>
    <t>09 января 2019  г.</t>
  </si>
  <si>
    <t>на 2019  год</t>
  </si>
  <si>
    <t>и на плановый период 2020 и 2021 годов</t>
  </si>
  <si>
    <t>09.01.2019</t>
  </si>
  <si>
    <t>на 01 января 2019 года</t>
  </si>
  <si>
    <t>IV.Сведения о средствах, поступающих во временное распоряжение учреждения (подразделения)на 2019 год.</t>
  </si>
  <si>
    <t>"09" января 2019  г.</t>
  </si>
  <si>
    <t>на 09.01.2019г.</t>
  </si>
  <si>
    <t>на 2019г. очередной финансовый год</t>
  </si>
  <si>
    <t>на 2020г. 1-ый год планового периода</t>
  </si>
  <si>
    <t>на 2021г. 2-й год планового периода</t>
  </si>
  <si>
    <t>на 2021г. 2-ой год планового периода</t>
  </si>
  <si>
    <t>100</t>
  </si>
  <si>
    <t>242</t>
  </si>
  <si>
    <t>Техническое обслуживание прочего оборудования и инвентаря</t>
  </si>
  <si>
    <t>1288,27</t>
  </si>
  <si>
    <t>Организация питания</t>
  </si>
  <si>
    <t>Поставка автомобильных запасных частей</t>
  </si>
  <si>
    <t>Поставка хозяйственных товаров</t>
  </si>
  <si>
    <t>Поставка спецпитания</t>
  </si>
  <si>
    <t>Поставка запасных частей для медицинского оборудования</t>
  </si>
  <si>
    <t>237</t>
  </si>
  <si>
    <t>7</t>
  </si>
  <si>
    <t>Поставка хозяйственных товаров, в т.ч. медицинская одежда</t>
  </si>
  <si>
    <t>"____" января 2019г.</t>
  </si>
  <si>
    <r>
      <t xml:space="preserve">III.I. Показатели выплат по расходам на закупку товаров, работ, услуг учреждения (подразделения) на </t>
    </r>
    <r>
      <rPr>
        <b/>
        <sz val="11"/>
        <color rgb="FFFF0000"/>
        <rFont val="Times New Roman"/>
        <family val="1"/>
        <charset val="204"/>
      </rPr>
      <t>09.01.2019 год</t>
    </r>
  </si>
  <si>
    <t>Сумма (тыс.руб)</t>
  </si>
  <si>
    <r>
      <t xml:space="preserve">III. Показатели по поступлениям и выплатам учреждения (подразделения) </t>
    </r>
    <r>
      <rPr>
        <sz val="11"/>
        <color rgb="FFFF0000"/>
        <rFont val="Times New Roman"/>
        <family val="1"/>
        <charset val="204"/>
      </rPr>
      <t>на 09.01.2019 год</t>
    </r>
  </si>
</sst>
</file>

<file path=xl/styles.xml><?xml version="1.0" encoding="utf-8"?>
<styleSheet xmlns="http://schemas.openxmlformats.org/spreadsheetml/2006/main">
  <numFmts count="2">
    <numFmt numFmtId="164" formatCode="0.0"/>
    <numFmt numFmtId="165" formatCode="0.0%"/>
  </numFmts>
  <fonts count="60">
    <font>
      <sz val="11"/>
      <color theme="1"/>
      <name val="Calibri"/>
      <family val="2"/>
      <charset val="204"/>
      <scheme val="minor"/>
    </font>
    <font>
      <sz val="12"/>
      <color theme="1"/>
      <name val="Times New Roman"/>
      <family val="1"/>
      <charset val="204"/>
    </font>
    <font>
      <sz val="7"/>
      <color theme="1"/>
      <name val="Calibri"/>
      <family val="2"/>
      <charset val="204"/>
      <scheme val="minor"/>
    </font>
    <font>
      <sz val="7"/>
      <color theme="1"/>
      <name val="Times New Roman"/>
      <family val="1"/>
      <charset val="204"/>
    </font>
    <font>
      <sz val="5"/>
      <color theme="1"/>
      <name val="Calibri"/>
      <family val="2"/>
      <charset val="204"/>
      <scheme val="minor"/>
    </font>
    <font>
      <sz val="5"/>
      <color theme="1"/>
      <name val="Times New Roman"/>
      <family val="1"/>
      <charset val="204"/>
    </font>
    <font>
      <sz val="6"/>
      <color theme="1"/>
      <name val="Times New Roman"/>
      <family val="1"/>
      <charset val="204"/>
    </font>
    <font>
      <sz val="11"/>
      <color theme="1"/>
      <name val="Times New Roman"/>
      <family val="1"/>
      <charset val="204"/>
    </font>
    <font>
      <sz val="8"/>
      <color theme="1"/>
      <name val="Times New Roman"/>
      <family val="1"/>
      <charset val="204"/>
    </font>
    <font>
      <b/>
      <sz val="8"/>
      <color theme="1"/>
      <name val="Times New Roman"/>
      <family val="1"/>
      <charset val="204"/>
    </font>
    <font>
      <b/>
      <sz val="12"/>
      <color theme="1"/>
      <name val="Times New Roman"/>
      <family val="1"/>
      <charset val="204"/>
    </font>
    <font>
      <b/>
      <sz val="11"/>
      <color theme="1"/>
      <name val="Times New Roman"/>
      <family val="1"/>
      <charset val="204"/>
    </font>
    <font>
      <sz val="12"/>
      <name val="Times New Roman"/>
      <family val="1"/>
      <charset val="204"/>
    </font>
    <font>
      <sz val="8"/>
      <color theme="1"/>
      <name val="Calibri"/>
      <family val="2"/>
      <charset val="204"/>
      <scheme val="minor"/>
    </font>
    <font>
      <sz val="9"/>
      <color theme="1"/>
      <name val="Times New Roman"/>
      <family val="1"/>
      <charset val="204"/>
    </font>
    <font>
      <b/>
      <sz val="11"/>
      <color theme="1"/>
      <name val="Calibri"/>
      <family val="2"/>
      <charset val="204"/>
      <scheme val="minor"/>
    </font>
    <font>
      <b/>
      <sz val="9"/>
      <color theme="1"/>
      <name val="Times New Roman"/>
      <family val="1"/>
      <charset val="204"/>
    </font>
    <font>
      <sz val="12"/>
      <name val="Times New Roman"/>
      <family val="1"/>
    </font>
    <font>
      <sz val="10"/>
      <name val="Arial"/>
      <family val="2"/>
      <charset val="204"/>
    </font>
    <font>
      <sz val="10"/>
      <name val="Times New Roman"/>
      <family val="1"/>
    </font>
    <font>
      <sz val="8"/>
      <name val="Times New Roman"/>
      <family val="1"/>
    </font>
    <font>
      <sz val="6"/>
      <name val="Times New Roman"/>
      <family val="1"/>
      <charset val="204"/>
    </font>
    <font>
      <sz val="6"/>
      <name val="Times New Roman"/>
      <family val="1"/>
    </font>
    <font>
      <sz val="6"/>
      <color theme="1"/>
      <name val="Calibri"/>
      <family val="2"/>
      <charset val="204"/>
      <scheme val="minor"/>
    </font>
    <font>
      <b/>
      <sz val="12"/>
      <name val="Times New Roman"/>
      <family val="1"/>
      <charset val="204"/>
    </font>
    <font>
      <sz val="10"/>
      <name val="Times New Roman"/>
      <family val="1"/>
      <charset val="204"/>
    </font>
    <font>
      <b/>
      <sz val="10"/>
      <name val="Times New Roman"/>
      <family val="1"/>
      <charset val="204"/>
    </font>
    <font>
      <sz val="9"/>
      <name val="Times New Roman"/>
      <family val="1"/>
      <charset val="204"/>
    </font>
    <font>
      <sz val="11"/>
      <name val="Calibri"/>
      <family val="2"/>
      <charset val="204"/>
      <scheme val="minor"/>
    </font>
    <font>
      <b/>
      <sz val="8"/>
      <name val="Times New Roman"/>
      <family val="1"/>
      <charset val="204"/>
    </font>
    <font>
      <sz val="8"/>
      <name val="Times New Roman"/>
      <family val="1"/>
      <charset val="204"/>
    </font>
    <font>
      <sz val="8"/>
      <color indexed="8"/>
      <name val="Times New Roman"/>
      <family val="1"/>
      <charset val="204"/>
    </font>
    <font>
      <b/>
      <sz val="6"/>
      <name val="Times New Roman"/>
      <family val="1"/>
      <charset val="204"/>
    </font>
    <font>
      <sz val="10"/>
      <color indexed="8"/>
      <name val="Times New Roman"/>
      <family val="1"/>
      <charset val="204"/>
    </font>
    <font>
      <b/>
      <sz val="14"/>
      <color indexed="8"/>
      <name val="Times New Roman"/>
      <family val="1"/>
      <charset val="204"/>
    </font>
    <font>
      <sz val="10"/>
      <name val="Arial Cyr"/>
      <charset val="204"/>
    </font>
    <font>
      <sz val="10"/>
      <color theme="1"/>
      <name val="Times New Roman"/>
      <family val="1"/>
      <charset val="204"/>
    </font>
    <font>
      <b/>
      <sz val="13"/>
      <name val="Times New Roman"/>
      <family val="1"/>
    </font>
    <font>
      <sz val="13"/>
      <name val="Times New Roman"/>
      <family val="1"/>
    </font>
    <font>
      <sz val="10"/>
      <name val="Courier New"/>
      <family val="3"/>
    </font>
    <font>
      <b/>
      <u/>
      <sz val="14"/>
      <name val="Times New Roman"/>
      <family val="1"/>
    </font>
    <font>
      <b/>
      <sz val="14"/>
      <name val="Times New Roman"/>
      <family val="1"/>
    </font>
    <font>
      <u/>
      <sz val="10"/>
      <color indexed="12"/>
      <name val="Arial"/>
      <family val="2"/>
      <charset val="204"/>
    </font>
    <font>
      <b/>
      <sz val="12"/>
      <name val="Times New Roman"/>
      <family val="1"/>
    </font>
    <font>
      <sz val="10"/>
      <color rgb="FFFF0000"/>
      <name val="Times New Roman"/>
      <family val="1"/>
      <charset val="204"/>
    </font>
    <font>
      <sz val="11"/>
      <color rgb="FFFF0000"/>
      <name val="Calibri"/>
      <family val="2"/>
      <charset val="204"/>
      <scheme val="minor"/>
    </font>
    <font>
      <b/>
      <sz val="6"/>
      <color theme="1"/>
      <name val="Times New Roman"/>
      <family val="1"/>
      <charset val="204"/>
    </font>
    <font>
      <b/>
      <sz val="10"/>
      <color theme="1"/>
      <name val="Times New Roman"/>
      <family val="1"/>
      <charset val="204"/>
    </font>
    <font>
      <sz val="10"/>
      <color theme="1"/>
      <name val="Calibri"/>
      <family val="2"/>
      <charset val="204"/>
      <scheme val="minor"/>
    </font>
    <font>
      <sz val="9"/>
      <color rgb="FFFF0000"/>
      <name val="Times New Roman"/>
      <family val="1"/>
      <charset val="204"/>
    </font>
    <font>
      <sz val="11"/>
      <color theme="1"/>
      <name val="Arial"/>
      <family val="2"/>
      <charset val="204"/>
    </font>
    <font>
      <sz val="11"/>
      <color indexed="8"/>
      <name val="Times New Roman"/>
      <family val="1"/>
      <charset val="204"/>
    </font>
    <font>
      <b/>
      <sz val="11"/>
      <color theme="1"/>
      <name val="Arial"/>
      <family val="2"/>
      <charset val="204"/>
    </font>
    <font>
      <sz val="11"/>
      <name val="Times New Roman"/>
      <family val="1"/>
      <charset val="204"/>
    </font>
    <font>
      <sz val="11"/>
      <color rgb="FFFF0000"/>
      <name val="Times New Roman"/>
      <family val="1"/>
      <charset val="204"/>
    </font>
    <font>
      <sz val="8"/>
      <color rgb="FFFF0000"/>
      <name val="Times New Roman"/>
      <family val="1"/>
    </font>
    <font>
      <b/>
      <sz val="11"/>
      <color rgb="FFFF0000"/>
      <name val="Times New Roman"/>
      <family val="1"/>
      <charset val="204"/>
    </font>
    <font>
      <b/>
      <sz val="12"/>
      <color rgb="FFFF0000"/>
      <name val="Times New Roman"/>
      <family val="1"/>
    </font>
    <font>
      <sz val="11"/>
      <name val="Times New Roman"/>
      <family val="1"/>
    </font>
    <font>
      <sz val="11"/>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35" fillId="0" borderId="0"/>
    <xf numFmtId="0" fontId="42" fillId="0" borderId="0" applyNumberFormat="0" applyFill="0" applyBorder="0" applyAlignment="0" applyProtection="0">
      <alignment vertical="top"/>
      <protection locked="0"/>
    </xf>
  </cellStyleXfs>
  <cellXfs count="396">
    <xf numFmtId="0" fontId="0" fillId="0" borderId="0" xfId="0"/>
    <xf numFmtId="0" fontId="4" fillId="0" borderId="1" xfId="0" applyFont="1" applyBorder="1" applyAlignment="1">
      <alignment horizontal="center"/>
    </xf>
    <xf numFmtId="0" fontId="3" fillId="0" borderId="1" xfId="0" applyFont="1" applyBorder="1" applyAlignment="1">
      <alignment horizontal="center" wrapText="1"/>
    </xf>
    <xf numFmtId="0" fontId="5"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left" wrapText="1"/>
    </xf>
    <xf numFmtId="49" fontId="1" fillId="0" borderId="1" xfId="0" applyNumberFormat="1" applyFont="1" applyBorder="1" applyAlignment="1">
      <alignment horizontal="center"/>
    </xf>
    <xf numFmtId="2" fontId="1" fillId="0" borderId="1" xfId="0" applyNumberFormat="1" applyFont="1" applyBorder="1" applyAlignment="1">
      <alignment horizontal="center"/>
    </xf>
    <xf numFmtId="0" fontId="2" fillId="0" borderId="1" xfId="0" applyFont="1" applyBorder="1" applyAlignment="1">
      <alignment horizontal="center" wrapText="1"/>
    </xf>
    <xf numFmtId="2" fontId="1" fillId="0" borderId="1" xfId="0" applyNumberFormat="1" applyFont="1" applyBorder="1"/>
    <xf numFmtId="0" fontId="7" fillId="0" borderId="0" xfId="0" applyFont="1"/>
    <xf numFmtId="0" fontId="1" fillId="0" borderId="0" xfId="0" applyFont="1"/>
    <xf numFmtId="0" fontId="9"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xf numFmtId="0" fontId="7" fillId="0" borderId="1" xfId="0" applyFont="1" applyFill="1" applyBorder="1"/>
    <xf numFmtId="0" fontId="7" fillId="0" borderId="1" xfId="0" applyFont="1" applyBorder="1" applyAlignment="1">
      <alignment wrapText="1"/>
    </xf>
    <xf numFmtId="2" fontId="7" fillId="0" borderId="1" xfId="0" applyNumberFormat="1" applyFont="1" applyBorder="1" applyAlignment="1">
      <alignment horizontal="center"/>
    </xf>
    <xf numFmtId="0" fontId="7" fillId="0" borderId="1" xfId="0" applyFont="1" applyFill="1" applyBorder="1" applyAlignment="1">
      <alignment wrapText="1"/>
    </xf>
    <xf numFmtId="0" fontId="12" fillId="0" borderId="0" xfId="0" applyFont="1" applyFill="1"/>
    <xf numFmtId="2" fontId="1" fillId="0" borderId="1" xfId="0" applyNumberFormat="1" applyFont="1" applyFill="1" applyBorder="1" applyAlignment="1">
      <alignment horizontal="center"/>
    </xf>
    <xf numFmtId="0" fontId="13" fillId="0" borderId="0" xfId="0" applyFont="1"/>
    <xf numFmtId="0" fontId="1" fillId="0" borderId="1" xfId="0" applyNumberFormat="1" applyFont="1" applyBorder="1"/>
    <xf numFmtId="49" fontId="1" fillId="0" borderId="1" xfId="0" applyNumberFormat="1" applyFont="1" applyBorder="1"/>
    <xf numFmtId="164" fontId="1" fillId="0" borderId="0" xfId="0" applyNumberFormat="1" applyFont="1"/>
    <xf numFmtId="164" fontId="9" fillId="0" borderId="1" xfId="0" applyNumberFormat="1" applyFont="1" applyBorder="1" applyAlignment="1">
      <alignment horizontal="center" wrapText="1"/>
    </xf>
    <xf numFmtId="164" fontId="8" fillId="0" borderId="1" xfId="0" applyNumberFormat="1" applyFont="1" applyBorder="1" applyAlignment="1">
      <alignment horizontal="center"/>
    </xf>
    <xf numFmtId="164" fontId="1" fillId="0" borderId="1" xfId="0" applyNumberFormat="1" applyFont="1" applyFill="1" applyBorder="1" applyAlignment="1">
      <alignment horizontal="center"/>
    </xf>
    <xf numFmtId="0" fontId="10" fillId="0" borderId="1" xfId="0" applyNumberFormat="1" applyFont="1" applyBorder="1" applyAlignment="1">
      <alignment horizontal="center"/>
    </xf>
    <xf numFmtId="0" fontId="10" fillId="0" borderId="1" xfId="0" applyFont="1" applyBorder="1" applyAlignment="1">
      <alignment horizontal="left"/>
    </xf>
    <xf numFmtId="0" fontId="10" fillId="0" borderId="1" xfId="0" applyFont="1" applyBorder="1" applyAlignment="1">
      <alignment horizontal="center"/>
    </xf>
    <xf numFmtId="164" fontId="10" fillId="0" borderId="1" xfId="0" applyNumberFormat="1" applyFont="1" applyBorder="1" applyAlignment="1">
      <alignment horizontal="center"/>
    </xf>
    <xf numFmtId="2" fontId="10" fillId="0" borderId="1" xfId="0" applyNumberFormat="1" applyFont="1" applyBorder="1" applyAlignment="1">
      <alignment horizontal="center"/>
    </xf>
    <xf numFmtId="0" fontId="10" fillId="0" borderId="1" xfId="0" applyFont="1" applyBorder="1"/>
    <xf numFmtId="2" fontId="10" fillId="0" borderId="1" xfId="0" applyNumberFormat="1" applyFont="1" applyFill="1" applyBorder="1" applyAlignment="1">
      <alignment horizontal="center"/>
    </xf>
    <xf numFmtId="164" fontId="10" fillId="0" borderId="1" xfId="0" applyNumberFormat="1" applyFont="1" applyFill="1" applyBorder="1" applyAlignment="1">
      <alignment horizontal="center"/>
    </xf>
    <xf numFmtId="0" fontId="10" fillId="0" borderId="1" xfId="0" applyNumberFormat="1" applyFont="1" applyBorder="1"/>
    <xf numFmtId="0" fontId="10" fillId="0" borderId="0" xfId="0" applyFont="1" applyAlignment="1">
      <alignment wrapText="1"/>
    </xf>
    <xf numFmtId="49" fontId="10" fillId="0" borderId="1" xfId="0" applyNumberFormat="1" applyFont="1" applyBorder="1" applyAlignment="1">
      <alignment horizontal="center"/>
    </xf>
    <xf numFmtId="0" fontId="10" fillId="0" borderId="1" xfId="0" applyFont="1" applyBorder="1" applyAlignment="1">
      <alignment wrapText="1"/>
    </xf>
    <xf numFmtId="49" fontId="3" fillId="0" borderId="1" xfId="0" applyNumberFormat="1" applyFont="1" applyBorder="1" applyAlignment="1">
      <alignment horizontal="center"/>
    </xf>
    <xf numFmtId="0" fontId="8" fillId="0" borderId="1" xfId="0" applyFont="1" applyBorder="1" applyAlignment="1">
      <alignment wrapText="1"/>
    </xf>
    <xf numFmtId="0" fontId="0" fillId="0" borderId="1" xfId="0" applyBorder="1"/>
    <xf numFmtId="0" fontId="2"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wrapText="1"/>
    </xf>
    <xf numFmtId="49" fontId="10" fillId="0" borderId="1" xfId="0" applyNumberFormat="1" applyFont="1" applyFill="1" applyBorder="1" applyAlignment="1">
      <alignment horizontal="center"/>
    </xf>
    <xf numFmtId="0" fontId="10" fillId="0" borderId="1" xfId="0" applyFont="1" applyFill="1" applyBorder="1" applyAlignment="1">
      <alignment wrapText="1"/>
    </xf>
    <xf numFmtId="0" fontId="0" fillId="0" borderId="0" xfId="0" applyFill="1"/>
    <xf numFmtId="0" fontId="15" fillId="0" borderId="1" xfId="0" applyFont="1" applyBorder="1"/>
    <xf numFmtId="0" fontId="15" fillId="0" borderId="1" xfId="0" applyFont="1" applyBorder="1" applyAlignment="1">
      <alignment horizontal="center"/>
    </xf>
    <xf numFmtId="2" fontId="15" fillId="0" borderId="1" xfId="0" applyNumberFormat="1" applyFont="1" applyBorder="1" applyAlignment="1">
      <alignment horizontal="center"/>
    </xf>
    <xf numFmtId="0" fontId="2" fillId="0" borderId="0" xfId="0" applyFont="1"/>
    <xf numFmtId="0" fontId="3" fillId="0" borderId="1" xfId="0" applyFont="1" applyBorder="1" applyAlignment="1">
      <alignment horizontal="center"/>
    </xf>
    <xf numFmtId="0" fontId="15"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10" fillId="0" borderId="0" xfId="0" applyFont="1"/>
    <xf numFmtId="0" fontId="1" fillId="0" borderId="1" xfId="0" applyFont="1" applyBorder="1" applyAlignment="1">
      <alignment horizontal="left"/>
    </xf>
    <xf numFmtId="49" fontId="1" fillId="0" borderId="1" xfId="0" applyNumberFormat="1" applyFont="1" applyBorder="1" applyAlignment="1">
      <alignment horizontal="left"/>
    </xf>
    <xf numFmtId="2" fontId="10" fillId="0" borderId="1" xfId="0" applyNumberFormat="1" applyFont="1" applyBorder="1"/>
    <xf numFmtId="49" fontId="1" fillId="0" borderId="1" xfId="0" applyNumberFormat="1" applyFont="1" applyBorder="1" applyAlignment="1">
      <alignment horizontal="left" wrapText="1"/>
    </xf>
    <xf numFmtId="165" fontId="1" fillId="0" borderId="0" xfId="0" applyNumberFormat="1" applyFont="1"/>
    <xf numFmtId="165" fontId="8" fillId="0" borderId="1" xfId="0" applyNumberFormat="1" applyFont="1" applyBorder="1" applyAlignment="1">
      <alignment horizontal="center" wrapText="1"/>
    </xf>
    <xf numFmtId="165" fontId="1" fillId="0" borderId="1" xfId="0" applyNumberFormat="1" applyFont="1" applyBorder="1" applyAlignment="1">
      <alignment horizontal="center"/>
    </xf>
    <xf numFmtId="49" fontId="10" fillId="0" borderId="1" xfId="0" applyNumberFormat="1" applyFont="1" applyBorder="1" applyAlignment="1">
      <alignment horizontal="left"/>
    </xf>
    <xf numFmtId="165" fontId="10" fillId="0" borderId="1" xfId="0" applyNumberFormat="1" applyFont="1" applyBorder="1" applyAlignment="1">
      <alignment horizontal="center"/>
    </xf>
    <xf numFmtId="0" fontId="11" fillId="0" borderId="1" xfId="0" applyFont="1" applyBorder="1"/>
    <xf numFmtId="0" fontId="11" fillId="0" borderId="1" xfId="0" applyFont="1" applyBorder="1" applyAlignment="1">
      <alignment horizontal="left"/>
    </xf>
    <xf numFmtId="0" fontId="11" fillId="0" borderId="1" xfId="0" applyFont="1" applyBorder="1" applyAlignment="1">
      <alignment horizontal="center"/>
    </xf>
    <xf numFmtId="2" fontId="11" fillId="0" borderId="1" xfId="0" applyNumberFormat="1" applyFont="1" applyBorder="1" applyAlignment="1">
      <alignment horizontal="center"/>
    </xf>
    <xf numFmtId="0" fontId="7" fillId="0" borderId="1" xfId="0" applyFont="1" applyFill="1" applyBorder="1" applyAlignment="1">
      <alignment horizontal="center"/>
    </xf>
    <xf numFmtId="2" fontId="7" fillId="0" borderId="1" xfId="0" applyNumberFormat="1" applyFont="1" applyFill="1" applyBorder="1" applyAlignment="1">
      <alignment horizontal="center"/>
    </xf>
    <xf numFmtId="0" fontId="7" fillId="0" borderId="0" xfId="0" applyFont="1" applyAlignment="1">
      <alignment horizontal="center"/>
    </xf>
    <xf numFmtId="49" fontId="7" fillId="0" borderId="1" xfId="0" applyNumberFormat="1" applyFont="1" applyFill="1" applyBorder="1" applyAlignment="1">
      <alignment horizontal="right"/>
    </xf>
    <xf numFmtId="49" fontId="7" fillId="0" borderId="1" xfId="0" applyNumberFormat="1" applyFont="1" applyBorder="1" applyAlignment="1">
      <alignment horizontal="center"/>
    </xf>
    <xf numFmtId="0" fontId="7" fillId="2" borderId="1" xfId="0" applyFont="1" applyFill="1" applyBorder="1" applyAlignment="1">
      <alignment horizontal="center"/>
    </xf>
    <xf numFmtId="0" fontId="7" fillId="2" borderId="1" xfId="0" applyFont="1" applyFill="1" applyBorder="1" applyAlignment="1">
      <alignment wrapText="1"/>
    </xf>
    <xf numFmtId="2" fontId="7" fillId="2" borderId="1" xfId="0" applyNumberFormat="1" applyFont="1" applyFill="1" applyBorder="1" applyAlignment="1">
      <alignment horizontal="center"/>
    </xf>
    <xf numFmtId="49" fontId="7" fillId="0" borderId="1" xfId="0" applyNumberFormat="1" applyFont="1" applyFill="1" applyBorder="1" applyAlignment="1">
      <alignment horizontal="center"/>
    </xf>
    <xf numFmtId="0" fontId="7" fillId="2" borderId="1" xfId="0" applyFont="1" applyFill="1" applyBorder="1"/>
    <xf numFmtId="49" fontId="7" fillId="0" borderId="1" xfId="0" applyNumberFormat="1" applyFont="1" applyBorder="1" applyAlignment="1">
      <alignment horizontal="right"/>
    </xf>
    <xf numFmtId="2" fontId="0" fillId="0" borderId="0" xfId="0" applyNumberFormat="1"/>
    <xf numFmtId="0" fontId="3" fillId="0" borderId="1" xfId="0" applyFont="1" applyBorder="1" applyAlignment="1">
      <alignment horizontal="center" wrapText="1"/>
    </xf>
    <xf numFmtId="0" fontId="3" fillId="0" borderId="1" xfId="0" applyFont="1" applyBorder="1" applyAlignment="1">
      <alignment horizontal="center"/>
    </xf>
    <xf numFmtId="0" fontId="7" fillId="0" borderId="0" xfId="0" applyFont="1" applyAlignment="1">
      <alignment wrapText="1"/>
    </xf>
    <xf numFmtId="0" fontId="14" fillId="0" borderId="1" xfId="0" applyFont="1" applyBorder="1" applyAlignment="1">
      <alignment wrapText="1"/>
    </xf>
    <xf numFmtId="0" fontId="16" fillId="0" borderId="1" xfId="0" applyFont="1" applyBorder="1" applyAlignment="1">
      <alignment wrapText="1"/>
    </xf>
    <xf numFmtId="0" fontId="16" fillId="0" borderId="1" xfId="0" applyFont="1" applyBorder="1" applyAlignment="1">
      <alignment horizontal="center"/>
    </xf>
    <xf numFmtId="0" fontId="0" fillId="0" borderId="0" xfId="0" applyAlignment="1">
      <alignment wrapText="1"/>
    </xf>
    <xf numFmtId="0" fontId="13" fillId="0" borderId="0" xfId="0" applyFont="1" applyAlignment="1">
      <alignment horizontal="center" wrapText="1"/>
    </xf>
    <xf numFmtId="0" fontId="13" fillId="0" borderId="0" xfId="0" applyFont="1" applyAlignment="1">
      <alignment horizontal="center"/>
    </xf>
    <xf numFmtId="49" fontId="0" fillId="0" borderId="0" xfId="0" applyNumberFormat="1"/>
    <xf numFmtId="0" fontId="17" fillId="0" borderId="0" xfId="0" applyFont="1"/>
    <xf numFmtId="0" fontId="18" fillId="0" borderId="0" xfId="0" applyFont="1"/>
    <xf numFmtId="0" fontId="19" fillId="0" borderId="0" xfId="0" applyFont="1"/>
    <xf numFmtId="0" fontId="20" fillId="0" borderId="0" xfId="0" applyFont="1"/>
    <xf numFmtId="0" fontId="12" fillId="0" borderId="0" xfId="0" applyFont="1"/>
    <xf numFmtId="0" fontId="6" fillId="0" borderId="0" xfId="0" applyFont="1"/>
    <xf numFmtId="0" fontId="21" fillId="0" borderId="0" xfId="0" applyFont="1" applyAlignment="1">
      <alignment horizontal="center"/>
    </xf>
    <xf numFmtId="0" fontId="6" fillId="0" borderId="0" xfId="0" applyFont="1" applyAlignment="1">
      <alignment horizontal="center"/>
    </xf>
    <xf numFmtId="0" fontId="21" fillId="0" borderId="0" xfId="0" applyFont="1" applyAlignment="1">
      <alignment horizontal="left"/>
    </xf>
    <xf numFmtId="0" fontId="22" fillId="0" borderId="0" xfId="0" applyFont="1"/>
    <xf numFmtId="0" fontId="23" fillId="0" borderId="0" xfId="0" applyFont="1" applyAlignment="1">
      <alignment horizontal="center"/>
    </xf>
    <xf numFmtId="2" fontId="8" fillId="0" borderId="1" xfId="0" applyNumberFormat="1" applyFont="1" applyBorder="1" applyAlignment="1">
      <alignment horizontal="center" wrapText="1"/>
    </xf>
    <xf numFmtId="2" fontId="7" fillId="0" borderId="0" xfId="0" applyNumberFormat="1" applyFont="1" applyAlignment="1">
      <alignment horizontal="center"/>
    </xf>
    <xf numFmtId="49" fontId="8" fillId="0" borderId="1" xfId="0" applyNumberFormat="1" applyFont="1" applyBorder="1" applyAlignment="1">
      <alignment horizontal="center" wrapText="1"/>
    </xf>
    <xf numFmtId="49" fontId="8" fillId="0" borderId="1" xfId="0" applyNumberFormat="1" applyFont="1" applyBorder="1" applyAlignment="1">
      <alignment horizontal="center"/>
    </xf>
    <xf numFmtId="49" fontId="13" fillId="0" borderId="0" xfId="0" applyNumberFormat="1" applyFont="1" applyAlignment="1">
      <alignment horizontal="center"/>
    </xf>
    <xf numFmtId="0" fontId="24" fillId="0" borderId="0" xfId="0" applyFont="1" applyAlignment="1">
      <alignment horizontal="left"/>
    </xf>
    <xf numFmtId="0" fontId="25" fillId="0" borderId="0" xfId="0" applyFont="1"/>
    <xf numFmtId="0" fontId="26" fillId="0" borderId="0" xfId="0" applyFont="1"/>
    <xf numFmtId="0" fontId="26" fillId="0" borderId="0" xfId="0" applyFont="1" applyAlignment="1">
      <alignment horizontal="center"/>
    </xf>
    <xf numFmtId="0" fontId="25" fillId="0" borderId="1" xfId="0" applyFont="1" applyBorder="1" applyAlignment="1">
      <alignment horizontal="center" wrapText="1"/>
    </xf>
    <xf numFmtId="0" fontId="27" fillId="0" borderId="1" xfId="0" applyFont="1" applyBorder="1" applyAlignment="1">
      <alignment vertical="top" wrapText="1"/>
    </xf>
    <xf numFmtId="0" fontId="25" fillId="0" borderId="1" xfId="0" applyFont="1" applyBorder="1" applyAlignment="1">
      <alignment horizontal="center" vertical="top" wrapText="1"/>
    </xf>
    <xf numFmtId="4" fontId="25" fillId="0" borderId="1" xfId="0" applyNumberFormat="1" applyFont="1" applyBorder="1" applyAlignment="1">
      <alignment horizontal="center" vertical="top" wrapText="1"/>
    </xf>
    <xf numFmtId="4" fontId="25" fillId="0" borderId="1" xfId="0" applyNumberFormat="1" applyFont="1" applyBorder="1"/>
    <xf numFmtId="4" fontId="25" fillId="0" borderId="1" xfId="0" applyNumberFormat="1" applyFont="1" applyFill="1" applyBorder="1" applyAlignment="1">
      <alignment horizontal="center" vertical="top" wrapText="1"/>
    </xf>
    <xf numFmtId="4" fontId="25" fillId="0" borderId="1" xfId="0" applyNumberFormat="1" applyFont="1" applyFill="1" applyBorder="1"/>
    <xf numFmtId="0" fontId="21" fillId="0" borderId="0" xfId="0" applyFont="1"/>
    <xf numFmtId="4" fontId="14" fillId="0" borderId="1" xfId="0" applyNumberFormat="1" applyFont="1" applyBorder="1" applyAlignment="1">
      <alignment horizontal="center"/>
    </xf>
    <xf numFmtId="4" fontId="16" fillId="0" borderId="1" xfId="0" applyNumberFormat="1" applyFont="1" applyBorder="1" applyAlignment="1">
      <alignment horizontal="center"/>
    </xf>
    <xf numFmtId="0" fontId="27"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8" fillId="0" borderId="0" xfId="0" applyFont="1" applyFill="1"/>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49" fontId="31" fillId="0" borderId="1" xfId="0" applyNumberFormat="1" applyFont="1" applyFill="1" applyBorder="1" applyAlignment="1" applyProtection="1">
      <alignment horizontal="center" vertical="center" wrapText="1"/>
    </xf>
    <xf numFmtId="0" fontId="32" fillId="0" borderId="0" xfId="0" applyFont="1"/>
    <xf numFmtId="0" fontId="23" fillId="0" borderId="0" xfId="0" applyFont="1"/>
    <xf numFmtId="0" fontId="0" fillId="3" borderId="0" xfId="0" applyFill="1"/>
    <xf numFmtId="0" fontId="0" fillId="3" borderId="0" xfId="0" applyFill="1" applyAlignment="1">
      <alignment wrapText="1"/>
    </xf>
    <xf numFmtId="0" fontId="19" fillId="0" borderId="0" xfId="0" applyFont="1" applyAlignment="1">
      <alignment horizontal="center"/>
    </xf>
    <xf numFmtId="0" fontId="19" fillId="0" borderId="0" xfId="0" applyFont="1" applyAlignment="1">
      <alignment horizontal="justify"/>
    </xf>
    <xf numFmtId="0" fontId="39" fillId="0" borderId="0" xfId="0" applyFont="1" applyBorder="1" applyAlignment="1">
      <alignment horizontal="right" wrapText="1"/>
    </xf>
    <xf numFmtId="0" fontId="17" fillId="0" borderId="0" xfId="0" applyFont="1" applyBorder="1" applyAlignment="1">
      <alignment horizontal="center" wrapText="1"/>
    </xf>
    <xf numFmtId="2" fontId="17" fillId="0" borderId="1" xfId="0" applyNumberFormat="1" applyFont="1" applyBorder="1" applyAlignment="1">
      <alignment horizontal="center" wrapText="1"/>
    </xf>
    <xf numFmtId="0" fontId="17" fillId="0" borderId="0" xfId="0" applyFont="1" applyBorder="1" applyAlignment="1">
      <alignment horizontal="right" wrapText="1"/>
    </xf>
    <xf numFmtId="1" fontId="39" fillId="0" borderId="1" xfId="0" applyNumberFormat="1" applyFont="1" applyBorder="1" applyAlignment="1">
      <alignment horizontal="center" wrapText="1"/>
    </xf>
    <xf numFmtId="0" fontId="39" fillId="0" borderId="0" xfId="0" applyFont="1" applyBorder="1" applyAlignment="1">
      <alignment horizontal="center" wrapText="1"/>
    </xf>
    <xf numFmtId="0" fontId="42" fillId="0" borderId="0" xfId="2" applyBorder="1" applyAlignment="1" applyProtection="1">
      <alignment horizontal="right" wrapText="1"/>
    </xf>
    <xf numFmtId="0" fontId="41" fillId="0" borderId="0" xfId="0" applyFont="1"/>
    <xf numFmtId="2" fontId="41" fillId="0" borderId="0" xfId="0" applyNumberFormat="1" applyFont="1"/>
    <xf numFmtId="0" fontId="17" fillId="0" borderId="0" xfId="0" applyFont="1" applyAlignment="1">
      <alignment horizontal="left" indent="3"/>
    </xf>
    <xf numFmtId="0" fontId="17" fillId="0" borderId="0" xfId="0" applyFont="1" applyAlignment="1">
      <alignment horizontal="justify"/>
    </xf>
    <xf numFmtId="2" fontId="17" fillId="0" borderId="0" xfId="0" applyNumberFormat="1" applyFont="1" applyAlignment="1">
      <alignment horizontal="justify"/>
    </xf>
    <xf numFmtId="2" fontId="17" fillId="0" borderId="1" xfId="0" applyNumberFormat="1" applyFont="1" applyBorder="1" applyAlignment="1">
      <alignment horizontal="center" vertical="top" wrapText="1"/>
    </xf>
    <xf numFmtId="0" fontId="17" fillId="0" borderId="0" xfId="0" applyFont="1" applyBorder="1" applyAlignment="1">
      <alignment vertical="top" wrapText="1"/>
    </xf>
    <xf numFmtId="2" fontId="39" fillId="0" borderId="0"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4" fontId="39" fillId="0" borderId="1" xfId="0" applyNumberFormat="1" applyFont="1" applyBorder="1" applyAlignment="1">
      <alignment horizontal="center" vertical="top" wrapText="1"/>
    </xf>
    <xf numFmtId="0" fontId="43" fillId="0" borderId="0" xfId="0" applyFont="1" applyAlignment="1">
      <alignment horizontal="center"/>
    </xf>
    <xf numFmtId="0" fontId="17" fillId="0" borderId="0" xfId="0" applyFont="1" applyAlignment="1">
      <alignment horizontal="justify"/>
    </xf>
    <xf numFmtId="0" fontId="17" fillId="0" borderId="0" xfId="0" applyFont="1"/>
    <xf numFmtId="0" fontId="10" fillId="0" borderId="0" xfId="0" applyFont="1" applyAlignment="1">
      <alignment horizontal="left"/>
    </xf>
    <xf numFmtId="0" fontId="17" fillId="0" borderId="0" xfId="0" applyFont="1" applyBorder="1" applyAlignment="1">
      <alignment wrapText="1"/>
    </xf>
    <xf numFmtId="0" fontId="17" fillId="0" borderId="0" xfId="0" applyFont="1" applyBorder="1" applyAlignment="1">
      <alignment horizontal="left" wrapText="1"/>
    </xf>
    <xf numFmtId="1" fontId="39" fillId="0" borderId="1" xfId="0" applyNumberFormat="1" applyFont="1" applyBorder="1" applyAlignment="1">
      <alignment horizontal="left" wrapText="1"/>
    </xf>
    <xf numFmtId="0" fontId="0" fillId="0" borderId="0" xfId="0" applyAlignment="1">
      <alignment horizontal="left"/>
    </xf>
    <xf numFmtId="0" fontId="17" fillId="0" borderId="0" xfId="0" applyFont="1" applyAlignment="1">
      <alignment horizontal="left" wrapText="1"/>
    </xf>
    <xf numFmtId="0" fontId="12" fillId="0" borderId="0" xfId="0" applyFont="1" applyBorder="1" applyAlignment="1">
      <alignment horizontal="left" wrapText="1"/>
    </xf>
    <xf numFmtId="0" fontId="0" fillId="0" borderId="9" xfId="0" applyBorder="1" applyAlignment="1">
      <alignment horizontal="center"/>
    </xf>
    <xf numFmtId="4" fontId="12" fillId="2" borderId="1"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0" fontId="1" fillId="3" borderId="0" xfId="0" applyFont="1" applyFill="1" applyBorder="1" applyAlignment="1">
      <alignment horizontal="right"/>
    </xf>
    <xf numFmtId="0" fontId="1" fillId="0" borderId="0" xfId="0" applyFont="1" applyAlignment="1">
      <alignment horizontal="center"/>
    </xf>
    <xf numFmtId="0" fontId="24" fillId="0" borderId="0" xfId="0" applyFont="1" applyFill="1"/>
    <xf numFmtId="0" fontId="1" fillId="0" borderId="0" xfId="0" applyFont="1" applyAlignment="1">
      <alignment horizontal="right"/>
    </xf>
    <xf numFmtId="4" fontId="14" fillId="0" borderId="1" xfId="0" applyNumberFormat="1" applyFont="1" applyFill="1" applyBorder="1" applyAlignment="1">
      <alignment horizontal="center"/>
    </xf>
    <xf numFmtId="0" fontId="14" fillId="0" borderId="1" xfId="0" applyFont="1" applyFill="1" applyBorder="1" applyAlignment="1">
      <alignment horizontal="center"/>
    </xf>
    <xf numFmtId="0" fontId="16" fillId="0" borderId="1" xfId="0" applyFont="1" applyFill="1" applyBorder="1" applyAlignment="1">
      <alignment wrapText="1"/>
    </xf>
    <xf numFmtId="0" fontId="16" fillId="0" borderId="1" xfId="0" applyFont="1" applyFill="1" applyBorder="1" applyAlignment="1">
      <alignment horizontal="center"/>
    </xf>
    <xf numFmtId="4" fontId="16" fillId="0" borderId="1" xfId="0" applyNumberFormat="1" applyFont="1" applyFill="1" applyBorder="1" applyAlignment="1">
      <alignment horizontal="center"/>
    </xf>
    <xf numFmtId="0" fontId="15" fillId="0" borderId="0" xfId="0" applyFont="1" applyFill="1"/>
    <xf numFmtId="0" fontId="14" fillId="0" borderId="1" xfId="0" applyFont="1" applyFill="1" applyBorder="1" applyAlignment="1">
      <alignment wrapText="1"/>
    </xf>
    <xf numFmtId="4" fontId="7" fillId="0" borderId="1" xfId="0" applyNumberFormat="1"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8" fillId="0" borderId="1" xfId="0" applyFont="1" applyBorder="1" applyAlignment="1">
      <alignment horizontal="center" wrapText="1"/>
    </xf>
    <xf numFmtId="0" fontId="7" fillId="0" borderId="0" xfId="0" applyFont="1" applyAlignment="1">
      <alignment horizontal="center"/>
    </xf>
    <xf numFmtId="0" fontId="8" fillId="0" borderId="1" xfId="0" applyFont="1" applyBorder="1" applyAlignment="1">
      <alignment horizontal="center"/>
    </xf>
    <xf numFmtId="0" fontId="6" fillId="0" borderId="1" xfId="0" applyFont="1" applyBorder="1" applyAlignment="1">
      <alignment wrapText="1"/>
    </xf>
    <xf numFmtId="4" fontId="16" fillId="0" borderId="1" xfId="0" applyNumberFormat="1" applyFont="1" applyBorder="1" applyAlignment="1"/>
    <xf numFmtId="0" fontId="17" fillId="0" borderId="0" xfId="0" applyFont="1" applyAlignment="1">
      <alignment wrapText="1"/>
    </xf>
    <xf numFmtId="0" fontId="39" fillId="0" borderId="0" xfId="0" applyFont="1" applyAlignment="1">
      <alignment wrapText="1"/>
    </xf>
    <xf numFmtId="0" fontId="17" fillId="0" borderId="0" xfId="0" applyFont="1" applyAlignment="1">
      <alignment horizontal="center"/>
    </xf>
    <xf numFmtId="1" fontId="12" fillId="0" borderId="1" xfId="0" applyNumberFormat="1" applyFont="1" applyBorder="1" applyAlignment="1">
      <alignment horizontal="left" wrapText="1"/>
    </xf>
    <xf numFmtId="1" fontId="12" fillId="0" borderId="1" xfId="0" applyNumberFormat="1" applyFont="1" applyBorder="1" applyAlignment="1">
      <alignment horizontal="right" wrapText="1"/>
    </xf>
    <xf numFmtId="4" fontId="27" fillId="0" borderId="1" xfId="0" applyNumberFormat="1" applyFont="1" applyFill="1" applyBorder="1" applyAlignment="1">
      <alignment horizontal="center"/>
    </xf>
    <xf numFmtId="0" fontId="22" fillId="0" borderId="0" xfId="0" applyFont="1" applyFill="1" applyAlignment="1">
      <alignment horizontal="center"/>
    </xf>
    <xf numFmtId="0" fontId="23" fillId="0" borderId="0" xfId="0" applyFont="1" applyFill="1"/>
    <xf numFmtId="2" fontId="23" fillId="0" borderId="0" xfId="0" applyNumberFormat="1" applyFont="1" applyFill="1"/>
    <xf numFmtId="0" fontId="38" fillId="0" borderId="0" xfId="0" applyFont="1" applyFill="1" applyAlignment="1">
      <alignment horizontal="center"/>
    </xf>
    <xf numFmtId="0" fontId="17" fillId="0" borderId="0" xfId="0" applyFont="1" applyFill="1" applyBorder="1" applyAlignment="1">
      <alignment horizontal="right" wrapText="1"/>
    </xf>
    <xf numFmtId="49" fontId="12" fillId="0" borderId="1" xfId="0" applyNumberFormat="1" applyFont="1" applyFill="1" applyBorder="1" applyAlignment="1">
      <alignment horizontal="center" wrapText="1"/>
    </xf>
    <xf numFmtId="0" fontId="10" fillId="0" borderId="0" xfId="0" applyFont="1" applyAlignment="1">
      <alignment horizontal="center"/>
    </xf>
    <xf numFmtId="0" fontId="8" fillId="0" borderId="1" xfId="0" applyFont="1" applyBorder="1" applyAlignment="1">
      <alignment horizontal="center" wrapText="1"/>
    </xf>
    <xf numFmtId="0" fontId="7" fillId="0" borderId="0" xfId="0" applyFont="1" applyAlignment="1">
      <alignment horizontal="center"/>
    </xf>
    <xf numFmtId="0" fontId="8" fillId="0" borderId="1" xfId="0" applyFont="1" applyBorder="1" applyAlignment="1">
      <alignment horizontal="center"/>
    </xf>
    <xf numFmtId="4" fontId="44" fillId="0" borderId="1" xfId="0" applyNumberFormat="1" applyFont="1" applyFill="1" applyBorder="1" applyAlignment="1">
      <alignment horizontal="center" vertical="top" wrapText="1"/>
    </xf>
    <xf numFmtId="4" fontId="44" fillId="0" borderId="1" xfId="0" applyNumberFormat="1" applyFont="1" applyBorder="1" applyAlignment="1">
      <alignment horizontal="center" vertical="top" wrapText="1"/>
    </xf>
    <xf numFmtId="0" fontId="45" fillId="0" borderId="0" xfId="0" applyFont="1"/>
    <xf numFmtId="0" fontId="10" fillId="0" borderId="0" xfId="0" applyFont="1" applyBorder="1" applyAlignment="1">
      <alignment horizontal="center"/>
    </xf>
    <xf numFmtId="0" fontId="10" fillId="0" borderId="0" xfId="0" applyFont="1" applyBorder="1" applyAlignment="1">
      <alignment horizontal="left"/>
    </xf>
    <xf numFmtId="2" fontId="10" fillId="0" borderId="0" xfId="0" applyNumberFormat="1" applyFont="1" applyBorder="1" applyAlignment="1">
      <alignment horizontal="center"/>
    </xf>
    <xf numFmtId="0" fontId="0" fillId="0" borderId="0" xfId="0" applyBorder="1"/>
    <xf numFmtId="0" fontId="15" fillId="0" borderId="0" xfId="0" applyFont="1" applyBorder="1"/>
    <xf numFmtId="0" fontId="15" fillId="0" borderId="0" xfId="0" applyFont="1" applyBorder="1" applyAlignment="1">
      <alignment horizontal="center"/>
    </xf>
    <xf numFmtId="2" fontId="15" fillId="0" borderId="0" xfId="0" applyNumberFormat="1" applyFont="1" applyBorder="1" applyAlignment="1">
      <alignment horizontal="center"/>
    </xf>
    <xf numFmtId="0" fontId="10" fillId="0" borderId="0" xfId="0" applyFont="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8" fillId="0" borderId="1" xfId="0" applyFont="1" applyBorder="1" applyAlignment="1">
      <alignment horizontal="center" wrapText="1"/>
    </xf>
    <xf numFmtId="0" fontId="7" fillId="0" borderId="0" xfId="0" applyFont="1" applyAlignment="1">
      <alignment horizontal="center"/>
    </xf>
    <xf numFmtId="0" fontId="8" fillId="0" borderId="1" xfId="0" applyFont="1" applyBorder="1" applyAlignment="1">
      <alignment horizontal="center"/>
    </xf>
    <xf numFmtId="4" fontId="12" fillId="0" borderId="1" xfId="0" applyNumberFormat="1" applyFont="1" applyFill="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10" fillId="0" borderId="0" xfId="0" applyFont="1" applyAlignment="1">
      <alignment horizontal="center"/>
    </xf>
    <xf numFmtId="0" fontId="8" fillId="0" borderId="1" xfId="0" applyFont="1" applyBorder="1" applyAlignment="1">
      <alignment horizontal="center" wrapText="1"/>
    </xf>
    <xf numFmtId="0" fontId="7" fillId="0" borderId="0" xfId="0" applyFont="1" applyAlignment="1">
      <alignment horizontal="center"/>
    </xf>
    <xf numFmtId="0" fontId="8" fillId="0" borderId="1" xfId="0" applyFont="1" applyBorder="1" applyAlignment="1">
      <alignment horizontal="center"/>
    </xf>
    <xf numFmtId="0" fontId="1" fillId="0" borderId="0" xfId="0" applyFont="1" applyAlignment="1">
      <alignment horizontal="left"/>
    </xf>
    <xf numFmtId="0" fontId="14" fillId="0" borderId="1" xfId="0" applyFont="1" applyBorder="1"/>
    <xf numFmtId="164" fontId="1" fillId="0" borderId="1" xfId="0" applyNumberFormat="1" applyFont="1" applyBorder="1"/>
    <xf numFmtId="0" fontId="16" fillId="0" borderId="1" xfId="0" applyFont="1" applyBorder="1"/>
    <xf numFmtId="0" fontId="46" fillId="0" borderId="1" xfId="0" applyFont="1" applyBorder="1" applyAlignment="1">
      <alignment horizontal="center" wrapText="1"/>
    </xf>
    <xf numFmtId="164" fontId="46" fillId="0" borderId="1" xfId="0" applyNumberFormat="1" applyFont="1" applyBorder="1" applyAlignment="1">
      <alignment horizontal="center" wrapText="1"/>
    </xf>
    <xf numFmtId="0" fontId="1" fillId="0" borderId="0" xfId="0" applyFont="1" applyAlignment="1">
      <alignment horizontal="center"/>
    </xf>
    <xf numFmtId="0" fontId="14" fillId="0" borderId="1" xfId="0" applyFont="1" applyFill="1" applyBorder="1" applyAlignment="1">
      <alignment horizontal="center" wrapText="1"/>
    </xf>
    <xf numFmtId="0" fontId="16" fillId="0" borderId="1" xfId="0" applyFont="1" applyBorder="1" applyAlignment="1">
      <alignment horizontal="left"/>
    </xf>
    <xf numFmtId="0" fontId="23" fillId="0" borderId="1" xfId="0" applyFont="1" applyBorder="1" applyAlignment="1">
      <alignment horizontal="center" wrapText="1"/>
    </xf>
    <xf numFmtId="0" fontId="6" fillId="0" borderId="1" xfId="0" applyFont="1" applyBorder="1" applyAlignment="1">
      <alignment horizontal="center" wrapText="1"/>
    </xf>
    <xf numFmtId="0" fontId="48" fillId="0" borderId="0" xfId="0" applyFont="1"/>
    <xf numFmtId="0" fontId="47" fillId="0" borderId="1" xfId="0" applyFont="1" applyBorder="1" applyAlignment="1">
      <alignment horizontal="center"/>
    </xf>
    <xf numFmtId="0" fontId="47" fillId="0" borderId="0" xfId="0" applyFont="1" applyAlignment="1">
      <alignment wrapText="1"/>
    </xf>
    <xf numFmtId="2" fontId="47" fillId="0" borderId="1" xfId="0" applyNumberFormat="1" applyFont="1" applyBorder="1" applyAlignment="1">
      <alignment horizontal="center"/>
    </xf>
    <xf numFmtId="49" fontId="36" fillId="0" borderId="1" xfId="0" applyNumberFormat="1" applyFont="1" applyBorder="1" applyAlignment="1">
      <alignment horizontal="center"/>
    </xf>
    <xf numFmtId="0" fontId="36" fillId="0" borderId="1" xfId="0" applyFont="1" applyBorder="1" applyAlignment="1">
      <alignment horizontal="left" wrapText="1"/>
    </xf>
    <xf numFmtId="2" fontId="36" fillId="0" borderId="1" xfId="0" applyNumberFormat="1" applyFont="1" applyBorder="1" applyAlignment="1">
      <alignment horizontal="center"/>
    </xf>
    <xf numFmtId="0" fontId="36" fillId="0" borderId="1" xfId="0" applyFont="1" applyBorder="1" applyAlignment="1">
      <alignment wrapText="1"/>
    </xf>
    <xf numFmtId="49" fontId="47" fillId="0" borderId="1" xfId="0" applyNumberFormat="1" applyFont="1" applyBorder="1" applyAlignment="1">
      <alignment horizontal="center"/>
    </xf>
    <xf numFmtId="0" fontId="47" fillId="0" borderId="1" xfId="0" applyFont="1" applyBorder="1" applyAlignment="1">
      <alignment wrapText="1"/>
    </xf>
    <xf numFmtId="49" fontId="47" fillId="0" borderId="1" xfId="0" applyNumberFormat="1" applyFont="1" applyFill="1" applyBorder="1" applyAlignment="1">
      <alignment horizontal="center"/>
    </xf>
    <xf numFmtId="0" fontId="47" fillId="0" borderId="1" xfId="0" applyFont="1" applyFill="1" applyBorder="1" applyAlignment="1">
      <alignment wrapText="1"/>
    </xf>
    <xf numFmtId="2" fontId="47" fillId="0" borderId="1" xfId="0" applyNumberFormat="1" applyFont="1" applyFill="1" applyBorder="1" applyAlignment="1">
      <alignment horizontal="center"/>
    </xf>
    <xf numFmtId="0" fontId="48" fillId="0" borderId="0" xfId="0" applyFont="1" applyFill="1"/>
    <xf numFmtId="2" fontId="1" fillId="0" borderId="1" xfId="0" applyNumberFormat="1" applyFont="1" applyFill="1" applyBorder="1"/>
    <xf numFmtId="2" fontId="0" fillId="0" borderId="1" xfId="0" applyNumberFormat="1" applyBorder="1"/>
    <xf numFmtId="1" fontId="8" fillId="0" borderId="1" xfId="0" applyNumberFormat="1" applyFont="1" applyBorder="1" applyAlignment="1">
      <alignment horizontal="center"/>
    </xf>
    <xf numFmtId="49" fontId="36" fillId="0" borderId="1" xfId="0" applyNumberFormat="1" applyFont="1" applyBorder="1" applyAlignment="1">
      <alignment horizontal="left"/>
    </xf>
    <xf numFmtId="0" fontId="10" fillId="0" borderId="0" xfId="0" applyFont="1" applyBorder="1"/>
    <xf numFmtId="0" fontId="36" fillId="0" borderId="1" xfId="0" applyFont="1" applyFill="1" applyBorder="1" applyAlignment="1">
      <alignment wrapText="1"/>
    </xf>
    <xf numFmtId="4" fontId="49" fillId="0" borderId="1" xfId="0" applyNumberFormat="1" applyFont="1" applyFill="1" applyBorder="1" applyAlignment="1">
      <alignment horizontal="center"/>
    </xf>
    <xf numFmtId="49" fontId="24" fillId="0" borderId="10" xfId="0" applyNumberFormat="1" applyFont="1" applyBorder="1" applyAlignment="1">
      <alignment horizontal="center" vertical="top" wrapText="1"/>
    </xf>
    <xf numFmtId="0" fontId="10" fillId="0" borderId="11" xfId="0" applyFont="1" applyFill="1" applyBorder="1" applyAlignment="1">
      <alignment horizontal="center" vertical="top" wrapText="1"/>
    </xf>
    <xf numFmtId="0" fontId="0" fillId="0" borderId="12" xfId="0" applyBorder="1"/>
    <xf numFmtId="0" fontId="11" fillId="0" borderId="13" xfId="0" applyFont="1" applyFill="1" applyBorder="1" applyAlignment="1">
      <alignment horizontal="center" vertical="center" wrapText="1"/>
    </xf>
    <xf numFmtId="49" fontId="50" fillId="0" borderId="12" xfId="0" applyNumberFormat="1" applyFont="1" applyBorder="1" applyAlignment="1">
      <alignment horizontal="center" vertical="center"/>
    </xf>
    <xf numFmtId="0" fontId="7" fillId="0" borderId="13" xfId="0" applyFont="1" applyFill="1" applyBorder="1" applyAlignment="1">
      <alignment vertical="top" wrapText="1"/>
    </xf>
    <xf numFmtId="0" fontId="7" fillId="0" borderId="13" xfId="0" applyFont="1" applyFill="1" applyBorder="1" applyAlignment="1">
      <alignment horizontal="justify" vertical="top" wrapText="1"/>
    </xf>
    <xf numFmtId="0" fontId="7" fillId="0" borderId="13" xfId="0" applyFont="1" applyFill="1" applyBorder="1" applyAlignment="1">
      <alignment horizontal="left" vertical="top" wrapText="1"/>
    </xf>
    <xf numFmtId="0" fontId="7" fillId="0" borderId="13" xfId="0" applyFont="1" applyFill="1" applyBorder="1" applyAlignment="1">
      <alignment horizontal="left" vertical="center" wrapText="1"/>
    </xf>
    <xf numFmtId="0" fontId="7" fillId="0" borderId="13" xfId="1" applyFont="1" applyFill="1" applyBorder="1" applyAlignment="1">
      <alignment wrapText="1"/>
    </xf>
    <xf numFmtId="0" fontId="11" fillId="0" borderId="13" xfId="1" applyFont="1" applyFill="1" applyBorder="1" applyAlignment="1">
      <alignment horizontal="center" vertical="center" wrapText="1"/>
    </xf>
    <xf numFmtId="0" fontId="7" fillId="0" borderId="13" xfId="0" applyFont="1" applyFill="1" applyBorder="1" applyAlignment="1">
      <alignment horizontal="left" wrapText="1"/>
    </xf>
    <xf numFmtId="0" fontId="51" fillId="0" borderId="5" xfId="0" applyFont="1" applyFill="1" applyBorder="1" applyAlignment="1">
      <alignment vertical="center" wrapText="1"/>
    </xf>
    <xf numFmtId="49" fontId="52" fillId="0" borderId="12" xfId="0" applyNumberFormat="1" applyFont="1" applyBorder="1" applyAlignment="1">
      <alignment horizontal="center" vertical="center"/>
    </xf>
    <xf numFmtId="0" fontId="7" fillId="0" borderId="13" xfId="0" applyFont="1" applyFill="1" applyBorder="1" applyAlignment="1">
      <alignment vertical="center" wrapText="1"/>
    </xf>
    <xf numFmtId="0" fontId="11" fillId="0" borderId="13" xfId="0" applyFont="1" applyFill="1" applyBorder="1" applyAlignment="1">
      <alignment vertical="top" wrapText="1"/>
    </xf>
    <xf numFmtId="0" fontId="7" fillId="3" borderId="0" xfId="0" applyFont="1" applyFill="1" applyAlignment="1">
      <alignment wrapText="1"/>
    </xf>
    <xf numFmtId="2" fontId="7" fillId="0" borderId="1" xfId="0" applyNumberFormat="1" applyFont="1" applyBorder="1"/>
    <xf numFmtId="4" fontId="11" fillId="0" borderId="1" xfId="0" applyNumberFormat="1" applyFont="1" applyBorder="1" applyAlignment="1">
      <alignment horizontal="center"/>
    </xf>
    <xf numFmtId="4" fontId="0" fillId="0" borderId="1" xfId="0" applyNumberFormat="1" applyBorder="1"/>
    <xf numFmtId="4" fontId="47" fillId="0" borderId="1" xfId="0" applyNumberFormat="1" applyFont="1" applyBorder="1" applyAlignment="1">
      <alignment horizontal="center"/>
    </xf>
    <xf numFmtId="0" fontId="36" fillId="0" borderId="1" xfId="0" applyFont="1" applyFill="1" applyBorder="1"/>
    <xf numFmtId="0" fontId="36" fillId="0" borderId="0" xfId="0" applyFont="1" applyAlignment="1">
      <alignment horizontal="left" vertical="center"/>
    </xf>
    <xf numFmtId="0" fontId="36" fillId="0" borderId="0" xfId="0" applyFont="1" applyBorder="1" applyAlignment="1">
      <alignment vertical="center"/>
    </xf>
    <xf numFmtId="0" fontId="8" fillId="0" borderId="1" xfId="0" applyFont="1" applyBorder="1" applyAlignment="1">
      <alignment horizontal="center" wrapText="1"/>
    </xf>
    <xf numFmtId="0" fontId="21"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53" fillId="0" borderId="1" xfId="0" applyFont="1" applyBorder="1" applyAlignment="1">
      <alignment vertical="top" wrapText="1"/>
    </xf>
    <xf numFmtId="49" fontId="53" fillId="0" borderId="1" xfId="0" applyNumberFormat="1" applyFont="1" applyBorder="1" applyAlignment="1">
      <alignment horizontal="center" wrapText="1"/>
    </xf>
    <xf numFmtId="0" fontId="53" fillId="0" borderId="1" xfId="2" applyFont="1" applyBorder="1" applyAlignment="1" applyProtection="1">
      <alignment vertical="top" wrapText="1"/>
    </xf>
    <xf numFmtId="0" fontId="53" fillId="0" borderId="0" xfId="0" applyFont="1"/>
    <xf numFmtId="0" fontId="7" fillId="0" borderId="0" xfId="0" applyFont="1" applyAlignment="1"/>
    <xf numFmtId="0" fontId="53" fillId="0" borderId="0" xfId="2" applyFont="1" applyBorder="1" applyAlignment="1" applyProtection="1">
      <alignment vertical="top" wrapText="1"/>
    </xf>
    <xf numFmtId="49" fontId="53" fillId="0" borderId="0" xfId="0" applyNumberFormat="1" applyFont="1" applyBorder="1" applyAlignment="1">
      <alignment horizontal="center" wrapText="1"/>
    </xf>
    <xf numFmtId="0" fontId="53" fillId="0" borderId="0" xfId="0" applyFont="1" applyBorder="1"/>
    <xf numFmtId="0" fontId="55" fillId="0" borderId="0" xfId="0" applyFont="1"/>
    <xf numFmtId="2" fontId="54" fillId="0" borderId="1" xfId="0" applyNumberFormat="1" applyFont="1" applyBorder="1" applyAlignment="1">
      <alignment horizontal="center"/>
    </xf>
    <xf numFmtId="0" fontId="44" fillId="0" borderId="0" xfId="0" applyFont="1" applyFill="1"/>
    <xf numFmtId="0" fontId="25" fillId="0" borderId="0" xfId="0" applyFont="1" applyAlignment="1">
      <alignment wrapText="1"/>
    </xf>
    <xf numFmtId="0" fontId="16" fillId="0" borderId="0" xfId="0" applyFont="1" applyAlignment="1">
      <alignment wrapText="1"/>
    </xf>
    <xf numFmtId="2" fontId="16" fillId="0" borderId="1" xfId="0" applyNumberFormat="1" applyFont="1" applyBorder="1" applyAlignment="1">
      <alignment horizontal="center"/>
    </xf>
    <xf numFmtId="0" fontId="58" fillId="0" borderId="0" xfId="0" applyFont="1"/>
    <xf numFmtId="0" fontId="59" fillId="0" borderId="0" xfId="0" applyFont="1"/>
    <xf numFmtId="4" fontId="44" fillId="0" borderId="1" xfId="0" applyNumberFormat="1" applyFont="1" applyFill="1" applyBorder="1"/>
    <xf numFmtId="2" fontId="53" fillId="0" borderId="6" xfId="0" applyNumberFormat="1" applyFont="1" applyBorder="1" applyAlignment="1">
      <alignment horizontal="center"/>
    </xf>
    <xf numFmtId="2" fontId="8" fillId="0" borderId="1" xfId="0" applyNumberFormat="1"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36" fillId="0" borderId="1" xfId="0" applyFont="1" applyBorder="1"/>
    <xf numFmtId="2" fontId="10" fillId="0" borderId="0" xfId="0" applyNumberFormat="1" applyFont="1" applyBorder="1"/>
    <xf numFmtId="0" fontId="11" fillId="0" borderId="0" xfId="0" applyFont="1" applyBorder="1" applyAlignment="1">
      <alignment horizontal="center"/>
    </xf>
    <xf numFmtId="0" fontId="11" fillId="0" borderId="0" xfId="0" applyFont="1" applyBorder="1" applyAlignment="1">
      <alignment horizontal="left"/>
    </xf>
    <xf numFmtId="2" fontId="11" fillId="0" borderId="0" xfId="0" applyNumberFormat="1" applyFont="1" applyBorder="1" applyAlignment="1">
      <alignment horizontal="center"/>
    </xf>
    <xf numFmtId="0" fontId="36" fillId="2" borderId="1" xfId="0" applyFont="1" applyFill="1" applyBorder="1" applyAlignment="1">
      <alignment wrapText="1"/>
    </xf>
    <xf numFmtId="0" fontId="10" fillId="0" borderId="0" xfId="0" applyFont="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xf>
    <xf numFmtId="0" fontId="1"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36" fillId="0" borderId="0" xfId="0" applyFont="1" applyAlignment="1">
      <alignment horizontal="center" wrapText="1"/>
    </xf>
    <xf numFmtId="0" fontId="9" fillId="0" borderId="9" xfId="0" applyFont="1" applyBorder="1" applyAlignment="1">
      <alignment horizontal="center" wrapText="1"/>
    </xf>
    <xf numFmtId="0" fontId="6" fillId="0" borderId="0" xfId="0" applyFont="1" applyAlignment="1">
      <alignment horizontal="left" wrapText="1"/>
    </xf>
    <xf numFmtId="0" fontId="12" fillId="0" borderId="0" xfId="0" applyFont="1" applyFill="1" applyAlignment="1">
      <alignment horizontal="center" wrapText="1"/>
    </xf>
    <xf numFmtId="0" fontId="9" fillId="0" borderId="9" xfId="0" applyFont="1" applyBorder="1" applyAlignment="1">
      <alignment horizontal="center"/>
    </xf>
    <xf numFmtId="0" fontId="1" fillId="0" borderId="0" xfId="0" applyFont="1" applyAlignment="1">
      <alignment horizontal="center"/>
    </xf>
    <xf numFmtId="0" fontId="15" fillId="0" borderId="9" xfId="0" applyFont="1" applyBorder="1" applyAlignment="1">
      <alignment horizontal="center" vertical="center" wrapText="1"/>
    </xf>
    <xf numFmtId="0" fontId="8" fillId="0" borderId="1" xfId="0" applyFont="1" applyBorder="1" applyAlignment="1">
      <alignment horizontal="center" wrapText="1"/>
    </xf>
    <xf numFmtId="2" fontId="8" fillId="0" borderId="1" xfId="0" applyNumberFormat="1" applyFont="1" applyBorder="1" applyAlignment="1">
      <alignment horizontal="center"/>
    </xf>
    <xf numFmtId="2" fontId="8" fillId="0" borderId="1" xfId="0" applyNumberFormat="1" applyFont="1" applyBorder="1" applyAlignment="1">
      <alignment horizontal="center" wrapText="1"/>
    </xf>
    <xf numFmtId="0" fontId="8" fillId="0" borderId="0" xfId="0" applyFont="1" applyAlignment="1">
      <alignment horizontal="center"/>
    </xf>
    <xf numFmtId="0" fontId="7" fillId="0" borderId="0" xfId="0" applyFont="1" applyAlignment="1">
      <alignment horizontal="center"/>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1" fillId="0" borderId="0" xfId="0" applyFont="1" applyAlignment="1">
      <alignment horizontal="center"/>
    </xf>
    <xf numFmtId="0" fontId="25" fillId="0" borderId="0" xfId="0" applyFont="1" applyAlignment="1">
      <alignment horizontal="center"/>
    </xf>
    <xf numFmtId="0" fontId="25" fillId="0" borderId="1" xfId="0" applyFont="1" applyBorder="1" applyAlignment="1">
      <alignment horizontal="center" vertic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38" fillId="0" borderId="0" xfId="0" applyFont="1" applyFill="1" applyAlignment="1">
      <alignment horizontal="center"/>
    </xf>
    <xf numFmtId="0" fontId="17" fillId="0" borderId="0" xfId="0" applyFont="1" applyFill="1" applyAlignment="1">
      <alignment horizontal="center" wrapText="1"/>
    </xf>
    <xf numFmtId="0" fontId="17" fillId="0" borderId="0" xfId="0" applyFont="1" applyAlignment="1">
      <alignment horizontal="center" wrapText="1"/>
    </xf>
    <xf numFmtId="0" fontId="17" fillId="0" borderId="8" xfId="0" applyFont="1" applyBorder="1" applyAlignment="1">
      <alignment horizontal="center" wrapText="1"/>
    </xf>
    <xf numFmtId="1" fontId="12" fillId="0" borderId="1" xfId="0" applyNumberFormat="1" applyFont="1" applyBorder="1" applyAlignment="1">
      <alignment horizontal="center" wrapText="1"/>
    </xf>
    <xf numFmtId="1" fontId="17" fillId="0" borderId="1" xfId="0" applyNumberFormat="1" applyFont="1" applyBorder="1" applyAlignment="1">
      <alignment horizontal="center" wrapText="1"/>
    </xf>
    <xf numFmtId="0" fontId="17" fillId="0" borderId="0" xfId="0" applyFont="1" applyAlignment="1">
      <alignment horizontal="right"/>
    </xf>
    <xf numFmtId="0" fontId="20" fillId="0" borderId="0" xfId="0" applyFont="1" applyAlignment="1">
      <alignment horizontal="right"/>
    </xf>
    <xf numFmtId="0" fontId="17" fillId="0" borderId="0" xfId="0" applyFont="1" applyFill="1" applyAlignment="1">
      <alignment horizontal="right"/>
    </xf>
    <xf numFmtId="0" fontId="23" fillId="0" borderId="0" xfId="0" applyFont="1" applyFill="1" applyAlignment="1">
      <alignment horizontal="center"/>
    </xf>
    <xf numFmtId="0" fontId="17" fillId="0" borderId="0" xfId="0" applyFont="1"/>
    <xf numFmtId="0" fontId="43" fillId="0" borderId="0" xfId="0" applyFont="1"/>
    <xf numFmtId="0" fontId="39" fillId="0" borderId="0" xfId="0" applyFont="1" applyAlignment="1">
      <alignment wrapText="1"/>
    </xf>
    <xf numFmtId="0" fontId="17" fillId="0" borderId="0" xfId="0" applyFont="1" applyAlignment="1">
      <alignment wrapText="1"/>
    </xf>
    <xf numFmtId="0" fontId="17" fillId="0" borderId="8" xfId="0" applyFont="1" applyBorder="1" applyAlignment="1">
      <alignment wrapText="1"/>
    </xf>
    <xf numFmtId="0" fontId="17" fillId="0" borderId="0" xfId="0" applyFont="1" applyAlignment="1">
      <alignment horizontal="center"/>
    </xf>
    <xf numFmtId="0" fontId="12" fillId="0" borderId="0" xfId="0" applyFont="1" applyAlignment="1">
      <alignment horizontal="left" wrapText="1"/>
    </xf>
    <xf numFmtId="0" fontId="43" fillId="0" borderId="0" xfId="0" applyFont="1" applyAlignment="1">
      <alignment horizontal="center"/>
    </xf>
    <xf numFmtId="0" fontId="17" fillId="0" borderId="0" xfId="0" applyFont="1" applyAlignment="1">
      <alignment horizontal="justify"/>
    </xf>
    <xf numFmtId="0" fontId="17" fillId="0" borderId="0" xfId="0" applyFont="1" applyAlignment="1">
      <alignment horizontal="justify" wrapText="1"/>
    </xf>
    <xf numFmtId="0" fontId="41" fillId="0" borderId="0" xfId="0" applyFont="1"/>
    <xf numFmtId="0" fontId="17" fillId="0" borderId="0" xfId="0" applyFont="1" applyAlignment="1">
      <alignment horizontal="left" indent="3"/>
    </xf>
    <xf numFmtId="0" fontId="17" fillId="0" borderId="1" xfId="0" applyFont="1" applyBorder="1" applyAlignment="1">
      <alignment horizontal="center" vertical="top" wrapText="1"/>
    </xf>
    <xf numFmtId="0" fontId="17" fillId="2" borderId="1" xfId="0" applyFont="1" applyFill="1" applyBorder="1" applyAlignment="1">
      <alignment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indent="2"/>
    </xf>
    <xf numFmtId="0" fontId="57" fillId="0" borderId="0" xfId="0" applyFont="1" applyAlignment="1">
      <alignment horizontal="center"/>
    </xf>
    <xf numFmtId="0" fontId="6" fillId="0" borderId="9" xfId="0" applyFont="1" applyBorder="1" applyAlignment="1">
      <alignment horizontal="center"/>
    </xf>
    <xf numFmtId="0" fontId="17" fillId="0" borderId="1" xfId="0" applyFont="1" applyBorder="1" applyAlignment="1">
      <alignment horizontal="left" vertical="top" wrapText="1" indent="3"/>
    </xf>
    <xf numFmtId="0" fontId="17" fillId="0" borderId="5"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5" xfId="0" applyFont="1" applyBorder="1" applyAlignment="1">
      <alignment horizontal="left" vertical="top" wrapText="1"/>
    </xf>
    <xf numFmtId="0" fontId="17" fillId="0" borderId="7" xfId="0" applyFont="1" applyBorder="1" applyAlignment="1">
      <alignment horizontal="left" vertical="top" wrapText="1"/>
    </xf>
    <xf numFmtId="0" fontId="17" fillId="0" borderId="6" xfId="0" applyFont="1" applyBorder="1" applyAlignment="1">
      <alignment horizontal="left" vertical="top" wrapText="1"/>
    </xf>
    <xf numFmtId="49" fontId="17" fillId="0" borderId="5" xfId="0" applyNumberFormat="1" applyFont="1" applyBorder="1" applyAlignment="1">
      <alignment horizontal="left" vertical="top" wrapText="1"/>
    </xf>
    <xf numFmtId="49" fontId="17" fillId="0" borderId="7" xfId="0" applyNumberFormat="1" applyFont="1" applyBorder="1" applyAlignment="1">
      <alignment horizontal="left" vertical="top" wrapText="1"/>
    </xf>
    <xf numFmtId="49" fontId="17" fillId="0" borderId="6" xfId="0" applyNumberFormat="1" applyFont="1" applyBorder="1" applyAlignment="1">
      <alignment horizontal="left" vertical="top" wrapText="1"/>
    </xf>
    <xf numFmtId="0" fontId="17" fillId="0" borderId="5" xfId="0" applyFont="1" applyBorder="1" applyAlignment="1">
      <alignment vertical="top" wrapText="1"/>
    </xf>
    <xf numFmtId="0" fontId="17" fillId="0" borderId="7" xfId="0" applyFont="1" applyBorder="1" applyAlignment="1">
      <alignment vertical="top" wrapText="1"/>
    </xf>
    <xf numFmtId="0" fontId="17" fillId="0" borderId="6" xfId="0" applyFont="1" applyBorder="1" applyAlignment="1">
      <alignment vertical="top" wrapText="1"/>
    </xf>
    <xf numFmtId="0" fontId="33" fillId="0" borderId="0" xfId="0" applyFont="1" applyAlignment="1">
      <alignment horizontal="right"/>
    </xf>
    <xf numFmtId="0" fontId="34" fillId="0" borderId="0" xfId="0" applyFont="1" applyAlignment="1">
      <alignment horizontal="center"/>
    </xf>
    <xf numFmtId="0" fontId="7" fillId="0" borderId="0" xfId="0" applyFont="1" applyAlignment="1">
      <alignment horizontal="center" wrapText="1"/>
    </xf>
    <xf numFmtId="0" fontId="47" fillId="0" borderId="0" xfId="0" applyFont="1" applyAlignment="1">
      <alignment horizontal="left" vertical="center"/>
    </xf>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consultantplus://offline/main?base=LAW;n=53610;fld=134;dst=10028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K38"/>
  <sheetViews>
    <sheetView topLeftCell="A25" workbookViewId="0">
      <selection activeCell="I21" sqref="I21"/>
    </sheetView>
  </sheetViews>
  <sheetFormatPr defaultRowHeight="14.4"/>
  <cols>
    <col min="3" max="3" width="23.88671875" customWidth="1"/>
    <col min="4" max="4" width="9.44140625" customWidth="1"/>
    <col min="5" max="5" width="13" customWidth="1"/>
    <col min="7" max="7" width="9.109375" bestFit="1" customWidth="1"/>
    <col min="8" max="8" width="12.6640625" customWidth="1"/>
    <col min="10" max="10" width="5.5546875" customWidth="1"/>
    <col min="11" max="11" width="12.88671875" customWidth="1"/>
  </cols>
  <sheetData>
    <row r="3" spans="2:11" ht="15.6">
      <c r="B3" s="59" t="s">
        <v>28</v>
      </c>
      <c r="C3" s="59"/>
      <c r="D3" s="59"/>
      <c r="E3" s="232">
        <v>111</v>
      </c>
      <c r="F3" s="13"/>
      <c r="G3" s="13"/>
      <c r="H3" s="13"/>
      <c r="I3" s="13"/>
      <c r="J3" s="13"/>
      <c r="K3" s="13"/>
    </row>
    <row r="4" spans="2:11" ht="15.6">
      <c r="B4" s="59" t="s">
        <v>29</v>
      </c>
      <c r="C4" s="59"/>
      <c r="D4" s="59"/>
      <c r="E4" s="319" t="s">
        <v>891</v>
      </c>
      <c r="F4" s="319"/>
      <c r="G4" s="319"/>
      <c r="H4" s="319"/>
      <c r="I4" s="319"/>
      <c r="J4" s="319"/>
      <c r="K4" s="319"/>
    </row>
    <row r="5" spans="2:11" ht="15.6">
      <c r="B5" s="320" t="s">
        <v>109</v>
      </c>
      <c r="C5" s="320"/>
      <c r="D5" s="320"/>
      <c r="E5" s="320"/>
      <c r="F5" s="320"/>
      <c r="G5" s="320"/>
      <c r="H5" s="320"/>
      <c r="I5" s="320"/>
      <c r="J5" s="320"/>
      <c r="K5" s="320"/>
    </row>
    <row r="6" spans="2:11" ht="15.6">
      <c r="B6" s="13"/>
      <c r="C6" s="13"/>
      <c r="D6" s="13"/>
      <c r="E6" s="13"/>
      <c r="F6" s="13"/>
      <c r="G6" s="13"/>
      <c r="H6" s="13"/>
      <c r="I6" s="13"/>
      <c r="J6" s="13"/>
      <c r="K6" s="13"/>
    </row>
    <row r="7" spans="2:11">
      <c r="B7" s="314" t="s">
        <v>2</v>
      </c>
      <c r="C7" s="314" t="s">
        <v>110</v>
      </c>
      <c r="D7" s="314" t="s">
        <v>111</v>
      </c>
      <c r="E7" s="314" t="s">
        <v>112</v>
      </c>
      <c r="F7" s="314"/>
      <c r="G7" s="314"/>
      <c r="H7" s="314"/>
      <c r="I7" s="315" t="s">
        <v>119</v>
      </c>
      <c r="J7" s="315" t="s">
        <v>113</v>
      </c>
      <c r="K7" s="315" t="s">
        <v>120</v>
      </c>
    </row>
    <row r="8" spans="2:11">
      <c r="B8" s="314"/>
      <c r="C8" s="314"/>
      <c r="D8" s="314"/>
      <c r="E8" s="314" t="s">
        <v>114</v>
      </c>
      <c r="F8" s="318" t="s">
        <v>115</v>
      </c>
      <c r="G8" s="318"/>
      <c r="H8" s="318"/>
      <c r="I8" s="316"/>
      <c r="J8" s="316"/>
      <c r="K8" s="316"/>
    </row>
    <row r="9" spans="2:11" ht="39.6">
      <c r="B9" s="314"/>
      <c r="C9" s="314"/>
      <c r="D9" s="314"/>
      <c r="E9" s="314"/>
      <c r="F9" s="220" t="s">
        <v>116</v>
      </c>
      <c r="G9" s="220" t="s">
        <v>117</v>
      </c>
      <c r="H9" s="220" t="s">
        <v>118</v>
      </c>
      <c r="I9" s="317"/>
      <c r="J9" s="317"/>
      <c r="K9" s="317"/>
    </row>
    <row r="10" spans="2:11">
      <c r="B10" s="221">
        <v>1</v>
      </c>
      <c r="C10" s="221">
        <v>2</v>
      </c>
      <c r="D10" s="221">
        <v>3</v>
      </c>
      <c r="E10" s="221">
        <v>4</v>
      </c>
      <c r="F10" s="221">
        <v>5</v>
      </c>
      <c r="G10" s="221">
        <v>6</v>
      </c>
      <c r="H10" s="221">
        <v>7</v>
      </c>
      <c r="I10" s="221">
        <v>8</v>
      </c>
      <c r="J10" s="221">
        <v>9</v>
      </c>
      <c r="K10" s="221">
        <v>10</v>
      </c>
    </row>
    <row r="11" spans="2:11" ht="15.6">
      <c r="B11" s="5">
        <v>1</v>
      </c>
      <c r="C11" s="5" t="s">
        <v>198</v>
      </c>
      <c r="D11" s="5">
        <v>1.5</v>
      </c>
      <c r="E11" s="11">
        <f>F11+G11+H11</f>
        <v>42674.5</v>
      </c>
      <c r="F11" s="11">
        <v>4181.95</v>
      </c>
      <c r="G11" s="11">
        <v>10000</v>
      </c>
      <c r="H11" s="11">
        <v>28492.55</v>
      </c>
      <c r="I11" s="11">
        <v>60</v>
      </c>
      <c r="J11" s="11">
        <v>1</v>
      </c>
      <c r="K11" s="251">
        <f>4725565+109147.14</f>
        <v>4834712.1399999997</v>
      </c>
    </row>
    <row r="12" spans="2:11" ht="15.6">
      <c r="B12" s="5"/>
      <c r="C12" s="5"/>
      <c r="D12" s="5"/>
      <c r="E12" s="11"/>
      <c r="F12" s="5"/>
      <c r="G12" s="11"/>
      <c r="H12" s="11"/>
      <c r="I12" s="11"/>
      <c r="J12" s="11"/>
      <c r="K12" s="252"/>
    </row>
    <row r="13" spans="2:11" ht="15.6">
      <c r="B13" s="5">
        <v>2</v>
      </c>
      <c r="C13" s="5" t="s">
        <v>199</v>
      </c>
      <c r="D13" s="11">
        <v>2.25</v>
      </c>
      <c r="E13" s="11">
        <f>F13+G13+H13</f>
        <v>29515.1</v>
      </c>
      <c r="F13" s="11">
        <v>5760.3</v>
      </c>
      <c r="G13" s="11">
        <v>5000</v>
      </c>
      <c r="H13" s="11">
        <v>18754.8</v>
      </c>
      <c r="I13" s="11">
        <v>60</v>
      </c>
      <c r="J13" s="11">
        <v>1</v>
      </c>
      <c r="K13" s="252">
        <f>1880160+688098.31</f>
        <v>2568258.31</v>
      </c>
    </row>
    <row r="14" spans="2:11" ht="15.6">
      <c r="B14" s="5"/>
      <c r="C14" s="5"/>
      <c r="D14" s="5"/>
      <c r="E14" s="11"/>
      <c r="F14" s="11"/>
      <c r="G14" s="11"/>
      <c r="H14" s="11"/>
      <c r="I14" s="11"/>
      <c r="J14" s="11"/>
      <c r="K14" s="252"/>
    </row>
    <row r="15" spans="2:11" ht="15.6">
      <c r="B15" s="5">
        <v>4</v>
      </c>
      <c r="C15" s="5" t="s">
        <v>202</v>
      </c>
      <c r="D15" s="5">
        <v>3.5</v>
      </c>
      <c r="E15" s="11">
        <f>F15+G15+H15</f>
        <v>24771.48</v>
      </c>
      <c r="F15" s="11">
        <v>5790</v>
      </c>
      <c r="G15" s="11">
        <v>3000</v>
      </c>
      <c r="H15" s="11">
        <v>15981.48</v>
      </c>
      <c r="I15" s="11">
        <v>60</v>
      </c>
      <c r="J15" s="11">
        <v>1</v>
      </c>
      <c r="K15" s="252">
        <f>D15*E15*1.6*12</f>
        <v>1664643.456</v>
      </c>
    </row>
    <row r="16" spans="2:11" ht="15.6">
      <c r="B16" s="5"/>
      <c r="C16" s="5"/>
      <c r="D16" s="5"/>
      <c r="E16" s="5"/>
      <c r="F16" s="11"/>
      <c r="G16" s="11"/>
      <c r="H16" s="11"/>
      <c r="I16" s="11"/>
      <c r="J16" s="11"/>
      <c r="K16" s="252"/>
    </row>
    <row r="17" spans="2:11" ht="15.6">
      <c r="B17" s="5"/>
      <c r="C17" s="35"/>
      <c r="D17" s="11">
        <f>D11+D13+D15</f>
        <v>7.25</v>
      </c>
      <c r="E17" s="11">
        <f>F17+G17+H17</f>
        <v>0</v>
      </c>
      <c r="F17" s="11"/>
      <c r="G17" s="11"/>
      <c r="H17" s="11"/>
      <c r="I17" s="11"/>
      <c r="J17" s="11"/>
      <c r="K17" s="252"/>
    </row>
    <row r="18" spans="2:11" ht="15.6">
      <c r="B18" s="32"/>
      <c r="C18" s="31" t="s">
        <v>121</v>
      </c>
      <c r="D18" s="32" t="s">
        <v>5</v>
      </c>
      <c r="E18" s="32"/>
      <c r="F18" s="34" t="s">
        <v>5</v>
      </c>
      <c r="G18" s="34" t="s">
        <v>5</v>
      </c>
      <c r="H18" s="34" t="s">
        <v>5</v>
      </c>
      <c r="I18" s="34" t="s">
        <v>5</v>
      </c>
      <c r="J18" s="34" t="s">
        <v>5</v>
      </c>
      <c r="K18" s="277">
        <f>SUM(K11:K17)</f>
        <v>9067613.9059999995</v>
      </c>
    </row>
    <row r="30" spans="2:11" ht="51" customHeight="1">
      <c r="C30" s="313" t="s">
        <v>101</v>
      </c>
      <c r="D30" s="313"/>
      <c r="E30" s="313"/>
      <c r="F30" s="313"/>
      <c r="G30" s="313"/>
      <c r="H30" s="313"/>
    </row>
    <row r="32" spans="2:11" ht="39.6">
      <c r="C32" s="221" t="s">
        <v>2</v>
      </c>
      <c r="D32" s="221" t="s">
        <v>34</v>
      </c>
      <c r="E32" s="220" t="s">
        <v>102</v>
      </c>
      <c r="F32" s="220" t="s">
        <v>103</v>
      </c>
      <c r="G32" s="220" t="s">
        <v>104</v>
      </c>
      <c r="H32" s="220" t="s">
        <v>90</v>
      </c>
    </row>
    <row r="33" spans="3:8">
      <c r="C33" s="45">
        <v>1</v>
      </c>
      <c r="D33" s="45">
        <v>2</v>
      </c>
      <c r="E33" s="45">
        <v>3</v>
      </c>
      <c r="F33" s="45">
        <v>4</v>
      </c>
      <c r="G33" s="45">
        <v>5</v>
      </c>
      <c r="H33" s="45">
        <v>6</v>
      </c>
    </row>
    <row r="34" spans="3:8" ht="24.6">
      <c r="C34" s="5">
        <v>1</v>
      </c>
      <c r="D34" s="88" t="s">
        <v>105</v>
      </c>
      <c r="E34" s="5">
        <v>750</v>
      </c>
      <c r="F34" s="5">
        <v>6</v>
      </c>
      <c r="G34" s="11">
        <v>4</v>
      </c>
      <c r="H34" s="11">
        <f>E34*F34*G34</f>
        <v>18000</v>
      </c>
    </row>
    <row r="35" spans="3:8" ht="24.6">
      <c r="C35" s="5">
        <v>2</v>
      </c>
      <c r="D35" s="88" t="s">
        <v>106</v>
      </c>
      <c r="E35" s="5">
        <v>800</v>
      </c>
      <c r="F35" s="5">
        <v>8</v>
      </c>
      <c r="G35" s="11">
        <v>12</v>
      </c>
      <c r="H35" s="11">
        <f t="shared" ref="H35:H36" si="0">E35*F35*G35</f>
        <v>76800</v>
      </c>
    </row>
    <row r="36" spans="3:8" ht="15.6">
      <c r="C36" s="5">
        <v>3</v>
      </c>
      <c r="D36" s="88" t="s">
        <v>107</v>
      </c>
      <c r="E36" s="5">
        <v>200</v>
      </c>
      <c r="F36" s="5">
        <v>8</v>
      </c>
      <c r="G36" s="11">
        <v>4</v>
      </c>
      <c r="H36" s="11">
        <f t="shared" si="0"/>
        <v>6400</v>
      </c>
    </row>
    <row r="37" spans="3:8" ht="15.6">
      <c r="C37" s="5"/>
      <c r="D37" s="5"/>
      <c r="E37" s="5"/>
      <c r="F37" s="5"/>
      <c r="G37" s="11"/>
      <c r="H37" s="11"/>
    </row>
    <row r="38" spans="3:8">
      <c r="C38" s="44"/>
      <c r="D38" s="51" t="s">
        <v>25</v>
      </c>
      <c r="E38" s="52" t="s">
        <v>5</v>
      </c>
      <c r="F38" s="52" t="s">
        <v>5</v>
      </c>
      <c r="G38" s="52" t="s">
        <v>5</v>
      </c>
      <c r="H38" s="53">
        <f>SUM(H34:H37)</f>
        <v>101200</v>
      </c>
    </row>
  </sheetData>
  <mergeCells count="12">
    <mergeCell ref="E4:K4"/>
    <mergeCell ref="B5:K5"/>
    <mergeCell ref="B7:B9"/>
    <mergeCell ref="C7:C9"/>
    <mergeCell ref="D7:D9"/>
    <mergeCell ref="C30:H30"/>
    <mergeCell ref="E7:H7"/>
    <mergeCell ref="I7:I9"/>
    <mergeCell ref="J7:J9"/>
    <mergeCell ref="K7:K9"/>
    <mergeCell ref="E8:E9"/>
    <mergeCell ref="F8:H8"/>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tabColor rgb="FFFF0000"/>
  </sheetPr>
  <dimension ref="A2:N45"/>
  <sheetViews>
    <sheetView topLeftCell="A34" workbookViewId="0">
      <selection activeCell="D9" sqref="D9"/>
    </sheetView>
  </sheetViews>
  <sheetFormatPr defaultRowHeight="14.4"/>
  <cols>
    <col min="1" max="1" width="21.6640625" style="87" customWidth="1"/>
    <col min="2" max="2" width="5.5546875" style="183" customWidth="1"/>
    <col min="3" max="3" width="9.44140625" style="183" customWidth="1"/>
    <col min="4" max="4" width="14.44140625" style="183" customWidth="1"/>
    <col min="5" max="5" width="15.109375" style="183" customWidth="1"/>
    <col min="6" max="6" width="12.5546875" style="183" customWidth="1"/>
    <col min="7" max="7" width="9.5546875" style="183" customWidth="1"/>
    <col min="8" max="8" width="10.88671875" style="183" customWidth="1"/>
    <col min="9" max="9" width="12.44140625" style="183" customWidth="1"/>
    <col min="10" max="10" width="8.88671875" style="183" customWidth="1"/>
    <col min="11" max="11" width="11.6640625" style="183" customWidth="1"/>
    <col min="12" max="12" width="7.6640625" style="183" customWidth="1"/>
  </cols>
  <sheetData>
    <row r="2" spans="1:12">
      <c r="A2" s="333" t="s">
        <v>1552</v>
      </c>
      <c r="B2" s="333"/>
      <c r="C2" s="333"/>
      <c r="D2" s="333"/>
      <c r="E2" s="333"/>
      <c r="F2" s="333"/>
      <c r="G2" s="333"/>
      <c r="H2" s="333"/>
      <c r="I2" s="333"/>
      <c r="J2" s="333"/>
      <c r="K2" s="333"/>
      <c r="L2" s="333"/>
    </row>
    <row r="4" spans="1:12">
      <c r="A4" s="340" t="s">
        <v>42</v>
      </c>
      <c r="B4" s="340" t="s">
        <v>205</v>
      </c>
      <c r="C4" s="340" t="s">
        <v>206</v>
      </c>
      <c r="D4" s="329" t="s">
        <v>207</v>
      </c>
      <c r="E4" s="329"/>
      <c r="F4" s="329"/>
      <c r="G4" s="329"/>
      <c r="H4" s="329"/>
      <c r="I4" s="329"/>
      <c r="J4" s="329"/>
      <c r="K4" s="329"/>
      <c r="L4" s="329"/>
    </row>
    <row r="5" spans="1:12">
      <c r="A5" s="344"/>
      <c r="B5" s="344"/>
      <c r="C5" s="344"/>
      <c r="D5" s="345" t="s">
        <v>114</v>
      </c>
      <c r="E5" s="348" t="s">
        <v>208</v>
      </c>
      <c r="F5" s="348"/>
      <c r="G5" s="348"/>
      <c r="H5" s="348"/>
      <c r="I5" s="348"/>
      <c r="J5" s="348"/>
      <c r="K5" s="348"/>
      <c r="L5" s="348"/>
    </row>
    <row r="6" spans="1:12" ht="104.25" customHeight="1">
      <c r="A6" s="344"/>
      <c r="B6" s="344"/>
      <c r="C6" s="344"/>
      <c r="D6" s="346"/>
      <c r="E6" s="340" t="s">
        <v>209</v>
      </c>
      <c r="F6" s="340" t="s">
        <v>857</v>
      </c>
      <c r="G6" s="340" t="s">
        <v>210</v>
      </c>
      <c r="H6" s="340" t="s">
        <v>850</v>
      </c>
      <c r="I6" s="329" t="s">
        <v>211</v>
      </c>
      <c r="J6" s="329"/>
      <c r="K6" s="342" t="s">
        <v>212</v>
      </c>
      <c r="L6" s="343"/>
    </row>
    <row r="7" spans="1:12" ht="38.25" customHeight="1">
      <c r="A7" s="341"/>
      <c r="B7" s="341"/>
      <c r="C7" s="341"/>
      <c r="D7" s="347"/>
      <c r="E7" s="341"/>
      <c r="F7" s="341"/>
      <c r="G7" s="341"/>
      <c r="H7" s="341"/>
      <c r="I7" s="185" t="s">
        <v>862</v>
      </c>
      <c r="J7" s="185" t="s">
        <v>863</v>
      </c>
      <c r="K7" s="184" t="s">
        <v>114</v>
      </c>
      <c r="L7" s="182" t="s">
        <v>213</v>
      </c>
    </row>
    <row r="8" spans="1:12">
      <c r="A8" s="180">
        <v>1</v>
      </c>
      <c r="B8" s="181">
        <v>2</v>
      </c>
      <c r="C8" s="181">
        <v>3</v>
      </c>
      <c r="D8" s="181">
        <v>4</v>
      </c>
      <c r="E8" s="181">
        <v>5</v>
      </c>
      <c r="F8" s="42" t="s">
        <v>214</v>
      </c>
      <c r="G8" s="181">
        <v>6</v>
      </c>
      <c r="H8" s="181">
        <v>7</v>
      </c>
      <c r="I8" s="181">
        <v>8</v>
      </c>
      <c r="J8" s="181"/>
      <c r="K8" s="181">
        <v>9</v>
      </c>
      <c r="L8" s="181">
        <v>10</v>
      </c>
    </row>
    <row r="9" spans="1:12" s="177" customFormat="1" ht="24">
      <c r="A9" s="174" t="s">
        <v>215</v>
      </c>
      <c r="B9" s="175">
        <v>100</v>
      </c>
      <c r="C9" s="175" t="s">
        <v>5</v>
      </c>
      <c r="D9" s="176">
        <f>E9+I9+K9+H9+J9</f>
        <v>338387202.31</v>
      </c>
      <c r="E9" s="176">
        <f>E13</f>
        <v>8845904</v>
      </c>
      <c r="F9" s="176"/>
      <c r="G9" s="176"/>
      <c r="H9" s="176">
        <f>H20</f>
        <v>8290015</v>
      </c>
      <c r="I9" s="176">
        <f>I13</f>
        <v>295268338.35000002</v>
      </c>
      <c r="J9" s="176"/>
      <c r="K9" s="176">
        <f>K10+K13+K18+K19+K22</f>
        <v>25982944.960000001</v>
      </c>
      <c r="L9" s="176"/>
    </row>
    <row r="10" spans="1:12" ht="24.6">
      <c r="A10" s="88" t="s">
        <v>216</v>
      </c>
      <c r="B10" s="46">
        <v>110</v>
      </c>
      <c r="C10" s="46">
        <v>120</v>
      </c>
      <c r="D10" s="123">
        <f>K10</f>
        <v>1402944.96</v>
      </c>
      <c r="E10" s="172" t="s">
        <v>5</v>
      </c>
      <c r="F10" s="172"/>
      <c r="G10" s="172" t="s">
        <v>5</v>
      </c>
      <c r="H10" s="172" t="s">
        <v>5</v>
      </c>
      <c r="I10" s="172" t="s">
        <v>5</v>
      </c>
      <c r="J10" s="172"/>
      <c r="K10" s="172">
        <f>K11+K12</f>
        <v>1402944.96</v>
      </c>
      <c r="L10" s="123" t="s">
        <v>5</v>
      </c>
    </row>
    <row r="11" spans="1:12" ht="24.6">
      <c r="A11" s="88" t="s">
        <v>217</v>
      </c>
      <c r="B11" s="46"/>
      <c r="C11" s="46"/>
      <c r="D11" s="123">
        <f>K11</f>
        <v>1402944.96</v>
      </c>
      <c r="E11" s="172" t="s">
        <v>5</v>
      </c>
      <c r="F11" s="172"/>
      <c r="G11" s="172" t="s">
        <v>5</v>
      </c>
      <c r="H11" s="172" t="s">
        <v>5</v>
      </c>
      <c r="I11" s="172" t="s">
        <v>5</v>
      </c>
      <c r="J11" s="172"/>
      <c r="K11" s="172">
        <f>Детализированная!K9</f>
        <v>1402944.96</v>
      </c>
      <c r="L11" s="123" t="s">
        <v>5</v>
      </c>
    </row>
    <row r="12" spans="1:12" ht="24.6">
      <c r="A12" s="88" t="s">
        <v>218</v>
      </c>
      <c r="B12" s="46"/>
      <c r="C12" s="46"/>
      <c r="D12" s="123"/>
      <c r="E12" s="172" t="s">
        <v>5</v>
      </c>
      <c r="F12" s="172"/>
      <c r="G12" s="172" t="s">
        <v>5</v>
      </c>
      <c r="H12" s="172" t="s">
        <v>5</v>
      </c>
      <c r="I12" s="172" t="s">
        <v>5</v>
      </c>
      <c r="J12" s="172"/>
      <c r="K12" s="172"/>
      <c r="L12" s="123" t="s">
        <v>5</v>
      </c>
    </row>
    <row r="13" spans="1:12" ht="24.6">
      <c r="A13" s="88" t="s">
        <v>219</v>
      </c>
      <c r="B13" s="46">
        <v>120</v>
      </c>
      <c r="C13" s="173">
        <v>130</v>
      </c>
      <c r="D13" s="172">
        <f t="shared" ref="D13:D17" si="0">E13+I13+K13+J13</f>
        <v>328694242.35000002</v>
      </c>
      <c r="E13" s="172">
        <f>Детализированная!E9</f>
        <v>8845904</v>
      </c>
      <c r="F13" s="172"/>
      <c r="G13" s="172" t="s">
        <v>5</v>
      </c>
      <c r="H13" s="172" t="s">
        <v>5</v>
      </c>
      <c r="I13" s="172">
        <f>Детализированная!P9</f>
        <v>295268338.35000002</v>
      </c>
      <c r="J13" s="172"/>
      <c r="K13" s="172">
        <f>Детализированная!R9+Детализированная!L9-K22</f>
        <v>24580000</v>
      </c>
      <c r="L13" s="123"/>
    </row>
    <row r="14" spans="1:12" ht="24.6">
      <c r="A14" s="88" t="s">
        <v>846</v>
      </c>
      <c r="B14" s="46"/>
      <c r="C14" s="46"/>
      <c r="D14" s="172">
        <f t="shared" si="0"/>
        <v>99667084.189999998</v>
      </c>
      <c r="E14" s="172">
        <f>2631080</f>
        <v>2631080</v>
      </c>
      <c r="F14" s="172"/>
      <c r="G14" s="172" t="s">
        <v>5</v>
      </c>
      <c r="H14" s="172" t="s">
        <v>5</v>
      </c>
      <c r="I14" s="257">
        <f>96996785.3-344261.11</f>
        <v>96652524.189999998</v>
      </c>
      <c r="J14" s="172"/>
      <c r="K14" s="257">
        <f>383480</f>
        <v>383480</v>
      </c>
      <c r="L14" s="123"/>
    </row>
    <row r="15" spans="1:12" ht="24.6">
      <c r="A15" s="88" t="s">
        <v>847</v>
      </c>
      <c r="B15" s="46"/>
      <c r="C15" s="46"/>
      <c r="D15" s="172">
        <f t="shared" si="0"/>
        <v>167306205.15000001</v>
      </c>
      <c r="E15" s="172">
        <f>6214824</f>
        <v>6214824</v>
      </c>
      <c r="F15" s="172"/>
      <c r="G15" s="172" t="s">
        <v>5</v>
      </c>
      <c r="H15" s="172" t="s">
        <v>5</v>
      </c>
      <c r="I15" s="257">
        <v>136894861.15000001</v>
      </c>
      <c r="J15" s="172"/>
      <c r="K15" s="257">
        <f>K13-K14</f>
        <v>24196520</v>
      </c>
      <c r="L15" s="123"/>
    </row>
    <row r="16" spans="1:12">
      <c r="A16" s="88" t="s">
        <v>848</v>
      </c>
      <c r="B16" s="46"/>
      <c r="C16" s="46"/>
      <c r="D16" s="172">
        <f t="shared" si="0"/>
        <v>20355949.149999999</v>
      </c>
      <c r="E16" s="172"/>
      <c r="F16" s="172"/>
      <c r="G16" s="172" t="s">
        <v>5</v>
      </c>
      <c r="H16" s="172" t="s">
        <v>5</v>
      </c>
      <c r="I16" s="257">
        <v>20355949.149999999</v>
      </c>
      <c r="J16" s="172"/>
      <c r="K16" s="172"/>
      <c r="L16" s="123"/>
    </row>
    <row r="17" spans="1:12">
      <c r="A17" s="88" t="s">
        <v>849</v>
      </c>
      <c r="B17" s="46"/>
      <c r="C17" s="46"/>
      <c r="D17" s="172">
        <f t="shared" si="0"/>
        <v>41365003.859999999</v>
      </c>
      <c r="E17" s="172"/>
      <c r="F17" s="172"/>
      <c r="G17" s="172"/>
      <c r="H17" s="172"/>
      <c r="I17" s="257">
        <f>41665003.86-300000</f>
        <v>41365003.859999999</v>
      </c>
      <c r="J17" s="172"/>
      <c r="K17" s="172"/>
      <c r="L17" s="123"/>
    </row>
    <row r="18" spans="1:12" ht="36.6">
      <c r="A18" s="88" t="s">
        <v>220</v>
      </c>
      <c r="B18" s="46">
        <v>130</v>
      </c>
      <c r="C18" s="46"/>
      <c r="D18" s="172"/>
      <c r="E18" s="172" t="s">
        <v>5</v>
      </c>
      <c r="F18" s="172"/>
      <c r="G18" s="172" t="s">
        <v>5</v>
      </c>
      <c r="H18" s="172" t="s">
        <v>5</v>
      </c>
      <c r="I18" s="172" t="s">
        <v>5</v>
      </c>
      <c r="J18" s="172"/>
      <c r="K18" s="172"/>
      <c r="L18" s="123" t="s">
        <v>5</v>
      </c>
    </row>
    <row r="19" spans="1:12" ht="72.599999999999994">
      <c r="A19" s="88" t="s">
        <v>221</v>
      </c>
      <c r="B19" s="46">
        <v>140</v>
      </c>
      <c r="C19" s="46"/>
      <c r="D19" s="172"/>
      <c r="E19" s="172" t="s">
        <v>5</v>
      </c>
      <c r="F19" s="172"/>
      <c r="G19" s="172" t="s">
        <v>5</v>
      </c>
      <c r="H19" s="172" t="s">
        <v>5</v>
      </c>
      <c r="I19" s="172" t="s">
        <v>5</v>
      </c>
      <c r="J19" s="172"/>
      <c r="K19" s="172"/>
      <c r="L19" s="123" t="s">
        <v>5</v>
      </c>
    </row>
    <row r="20" spans="1:12" ht="36.6">
      <c r="A20" s="88" t="s">
        <v>222</v>
      </c>
      <c r="B20" s="46">
        <v>150</v>
      </c>
      <c r="C20" s="46">
        <v>180</v>
      </c>
      <c r="D20" s="172">
        <f>H20</f>
        <v>8290015</v>
      </c>
      <c r="E20" s="172" t="s">
        <v>5</v>
      </c>
      <c r="F20" s="172"/>
      <c r="G20" s="172"/>
      <c r="H20" s="172">
        <f>Детализированная!F9</f>
        <v>8290015</v>
      </c>
      <c r="I20" s="172" t="s">
        <v>5</v>
      </c>
      <c r="J20" s="172"/>
      <c r="K20" s="172" t="s">
        <v>5</v>
      </c>
      <c r="L20" s="123" t="s">
        <v>5</v>
      </c>
    </row>
    <row r="21" spans="1:12">
      <c r="A21" s="88" t="s">
        <v>223</v>
      </c>
      <c r="B21" s="46">
        <v>160</v>
      </c>
      <c r="C21" s="46"/>
      <c r="D21" s="172"/>
      <c r="E21" s="172" t="s">
        <v>5</v>
      </c>
      <c r="F21" s="172"/>
      <c r="G21" s="172" t="s">
        <v>5</v>
      </c>
      <c r="H21" s="172" t="s">
        <v>5</v>
      </c>
      <c r="I21" s="172" t="s">
        <v>5</v>
      </c>
      <c r="J21" s="172"/>
      <c r="K21" s="172"/>
      <c r="L21" s="123"/>
    </row>
    <row r="22" spans="1:12" ht="24.6">
      <c r="A22" s="178" t="s">
        <v>869</v>
      </c>
      <c r="B22" s="173">
        <v>180</v>
      </c>
      <c r="C22" s="173">
        <v>400</v>
      </c>
      <c r="D22" s="172">
        <f>K22</f>
        <v>0</v>
      </c>
      <c r="E22" s="172" t="s">
        <v>5</v>
      </c>
      <c r="F22" s="172"/>
      <c r="G22" s="172" t="s">
        <v>5</v>
      </c>
      <c r="H22" s="172" t="s">
        <v>5</v>
      </c>
      <c r="I22" s="172" t="s">
        <v>5</v>
      </c>
      <c r="J22" s="172"/>
      <c r="K22" s="172">
        <f>K23</f>
        <v>0</v>
      </c>
      <c r="L22" s="172" t="s">
        <v>5</v>
      </c>
    </row>
    <row r="23" spans="1:12" ht="24.6">
      <c r="A23" s="178" t="s">
        <v>870</v>
      </c>
      <c r="B23" s="173"/>
      <c r="C23" s="173">
        <v>440</v>
      </c>
      <c r="D23" s="172">
        <f>K23</f>
        <v>0</v>
      </c>
      <c r="E23" s="172"/>
      <c r="F23" s="172"/>
      <c r="G23" s="172"/>
      <c r="H23" s="172"/>
      <c r="I23" s="172"/>
      <c r="J23" s="172"/>
      <c r="K23" s="172">
        <v>0</v>
      </c>
      <c r="L23" s="172"/>
    </row>
    <row r="24" spans="1:12" ht="24">
      <c r="A24" s="89" t="s">
        <v>224</v>
      </c>
      <c r="B24" s="90">
        <v>200</v>
      </c>
      <c r="C24" s="90" t="s">
        <v>5</v>
      </c>
      <c r="D24" s="176">
        <f>E24+I24+K24+H24</f>
        <v>363953958.72000003</v>
      </c>
      <c r="E24" s="176">
        <f>E25+E30+E37</f>
        <v>8845904</v>
      </c>
      <c r="F24" s="176"/>
      <c r="G24" s="176"/>
      <c r="H24" s="176">
        <f>H37</f>
        <v>23290015</v>
      </c>
      <c r="I24" s="176">
        <f>I25+I30+I37</f>
        <v>304213101</v>
      </c>
      <c r="J24" s="176">
        <f>J26+J27</f>
        <v>0</v>
      </c>
      <c r="K24" s="176">
        <f>K25+K30+K37</f>
        <v>27604938.720000003</v>
      </c>
      <c r="L24" s="124"/>
    </row>
    <row r="25" spans="1:12" ht="24.6">
      <c r="A25" s="88" t="s">
        <v>225</v>
      </c>
      <c r="B25" s="46">
        <v>210</v>
      </c>
      <c r="C25" s="46">
        <v>110</v>
      </c>
      <c r="D25" s="172">
        <f>E25+I25+K25</f>
        <v>227621471.32999998</v>
      </c>
      <c r="E25" s="172">
        <f>E26+E27</f>
        <v>7354452.5700000003</v>
      </c>
      <c r="F25" s="172"/>
      <c r="G25" s="172"/>
      <c r="H25" s="172"/>
      <c r="I25" s="172">
        <f>I26+I27</f>
        <v>208385764</v>
      </c>
      <c r="J25" s="172">
        <f>J26</f>
        <v>0</v>
      </c>
      <c r="K25" s="172">
        <f>K26+K27</f>
        <v>11881254.76</v>
      </c>
      <c r="L25" s="123"/>
    </row>
    <row r="26" spans="1:12" ht="48.6">
      <c r="A26" s="88" t="s">
        <v>226</v>
      </c>
      <c r="B26" s="46">
        <v>211</v>
      </c>
      <c r="C26" s="46">
        <v>110</v>
      </c>
      <c r="D26" s="172">
        <f>E26+I26+K26</f>
        <v>227091471.32999998</v>
      </c>
      <c r="E26" s="172">
        <f>Детализированная!E13+Детализированная!E15</f>
        <v>7344452.5700000003</v>
      </c>
      <c r="F26" s="172"/>
      <c r="G26" s="172"/>
      <c r="H26" s="172"/>
      <c r="I26" s="172">
        <f>Детализированная!P13+Детализированная!P15</f>
        <v>207965764</v>
      </c>
      <c r="J26" s="172">
        <f>Детализированная!Q15</f>
        <v>0</v>
      </c>
      <c r="K26" s="172">
        <f>Детализированная!K13+Детализированная!K15+Детализированная!L13+Детализированная!L15+Детализированная!R13+Детализированная!R15</f>
        <v>11781254.76</v>
      </c>
      <c r="L26" s="123"/>
    </row>
    <row r="27" spans="1:12" ht="36.6">
      <c r="A27" s="178" t="s">
        <v>859</v>
      </c>
      <c r="B27" s="173">
        <v>212</v>
      </c>
      <c r="C27" s="173">
        <v>112</v>
      </c>
      <c r="D27" s="172">
        <f>E27+H27+I27+J27+K27</f>
        <v>530000</v>
      </c>
      <c r="E27" s="172">
        <f>Детализированная!E14</f>
        <v>10000</v>
      </c>
      <c r="F27" s="172"/>
      <c r="G27" s="172"/>
      <c r="H27" s="172"/>
      <c r="I27" s="172">
        <f>Детализированная!P14</f>
        <v>420000</v>
      </c>
      <c r="J27" s="172"/>
      <c r="K27" s="172">
        <f>Детализированная!L14+Детализированная!K14+Детализированная!R14</f>
        <v>100000</v>
      </c>
      <c r="L27" s="172"/>
    </row>
    <row r="28" spans="1:12" s="50" customFormat="1" ht="24.6">
      <c r="A28" s="178" t="s">
        <v>227</v>
      </c>
      <c r="B28" s="173">
        <v>220</v>
      </c>
      <c r="C28" s="173"/>
      <c r="D28" s="172"/>
      <c r="E28" s="172"/>
      <c r="F28" s="172"/>
      <c r="G28" s="172"/>
      <c r="H28" s="172"/>
      <c r="I28" s="172"/>
      <c r="J28" s="172"/>
      <c r="K28" s="172"/>
      <c r="L28" s="172"/>
    </row>
    <row r="29" spans="1:12">
      <c r="A29" s="88" t="s">
        <v>228</v>
      </c>
      <c r="B29" s="46"/>
      <c r="C29" s="46"/>
      <c r="D29" s="172"/>
      <c r="E29" s="172"/>
      <c r="F29" s="172"/>
      <c r="G29" s="172"/>
      <c r="H29" s="172"/>
      <c r="I29" s="172"/>
      <c r="J29" s="172"/>
      <c r="K29" s="172"/>
      <c r="L29" s="123"/>
    </row>
    <row r="30" spans="1:12" ht="24.6">
      <c r="A30" s="88" t="s">
        <v>229</v>
      </c>
      <c r="B30" s="46">
        <v>230</v>
      </c>
      <c r="C30" s="46">
        <v>850</v>
      </c>
      <c r="D30" s="172">
        <f>E30+I30+K30</f>
        <v>1480000</v>
      </c>
      <c r="E30" s="172"/>
      <c r="F30" s="172"/>
      <c r="G30" s="172"/>
      <c r="H30" s="172"/>
      <c r="I30" s="172">
        <f>SUM(I31:I33)</f>
        <v>980000</v>
      </c>
      <c r="J30" s="172"/>
      <c r="K30" s="192">
        <f>K31+K32+K33</f>
        <v>500000</v>
      </c>
      <c r="L30" s="123"/>
    </row>
    <row r="31" spans="1:12" ht="48.6">
      <c r="A31" s="88" t="s">
        <v>860</v>
      </c>
      <c r="B31" s="46"/>
      <c r="C31" s="46">
        <v>851</v>
      </c>
      <c r="D31" s="172">
        <f t="shared" ref="D31:D33" si="1">E31+I31+K31</f>
        <v>792065</v>
      </c>
      <c r="E31" s="172"/>
      <c r="F31" s="172"/>
      <c r="G31" s="172"/>
      <c r="H31" s="172"/>
      <c r="I31" s="257">
        <v>757065</v>
      </c>
      <c r="J31" s="172"/>
      <c r="K31" s="257">
        <v>35000</v>
      </c>
      <c r="L31" s="123"/>
    </row>
    <row r="32" spans="1:12" ht="24.6">
      <c r="A32" s="88" t="s">
        <v>861</v>
      </c>
      <c r="B32" s="46"/>
      <c r="C32" s="46">
        <v>852</v>
      </c>
      <c r="D32" s="172">
        <f t="shared" si="1"/>
        <v>109376</v>
      </c>
      <c r="E32" s="172"/>
      <c r="F32" s="172"/>
      <c r="G32" s="172"/>
      <c r="H32" s="172"/>
      <c r="I32" s="257">
        <v>44376</v>
      </c>
      <c r="J32" s="172"/>
      <c r="K32" s="257">
        <v>65000</v>
      </c>
      <c r="L32" s="123"/>
    </row>
    <row r="33" spans="1:14">
      <c r="A33" s="88" t="s">
        <v>905</v>
      </c>
      <c r="B33" s="46"/>
      <c r="C33" s="46">
        <v>853</v>
      </c>
      <c r="D33" s="172">
        <f t="shared" si="1"/>
        <v>578559</v>
      </c>
      <c r="E33" s="172"/>
      <c r="F33" s="172"/>
      <c r="G33" s="172"/>
      <c r="H33" s="172"/>
      <c r="I33" s="257">
        <f>47935+122387.02+8236.98</f>
        <v>178559.00000000003</v>
      </c>
      <c r="J33" s="172"/>
      <c r="K33" s="257">
        <v>400000</v>
      </c>
      <c r="L33" s="123"/>
    </row>
    <row r="34" spans="1:14">
      <c r="A34" s="88" t="s">
        <v>228</v>
      </c>
      <c r="B34" s="46"/>
      <c r="C34" s="46"/>
      <c r="D34" s="172"/>
      <c r="E34" s="172"/>
      <c r="F34" s="172"/>
      <c r="G34" s="172"/>
      <c r="H34" s="172"/>
      <c r="I34" s="257"/>
      <c r="J34" s="172"/>
      <c r="K34" s="192"/>
      <c r="L34" s="123"/>
    </row>
    <row r="35" spans="1:14" ht="39" customHeight="1">
      <c r="A35" s="88" t="s">
        <v>864</v>
      </c>
      <c r="B35" s="46">
        <v>240</v>
      </c>
      <c r="C35" s="46"/>
      <c r="D35" s="172"/>
      <c r="E35" s="172"/>
      <c r="F35" s="172"/>
      <c r="G35" s="172"/>
      <c r="H35" s="172"/>
      <c r="I35" s="172"/>
      <c r="J35" s="172"/>
      <c r="K35" s="192"/>
      <c r="L35" s="123"/>
    </row>
    <row r="36" spans="1:14" ht="36.6">
      <c r="A36" s="88" t="s">
        <v>230</v>
      </c>
      <c r="B36" s="46">
        <v>250</v>
      </c>
      <c r="C36" s="46"/>
      <c r="D36" s="172"/>
      <c r="E36" s="172"/>
      <c r="F36" s="172"/>
      <c r="G36" s="172"/>
      <c r="H36" s="172"/>
      <c r="I36" s="172"/>
      <c r="J36" s="172"/>
      <c r="K36" s="192"/>
      <c r="L36" s="123"/>
    </row>
    <row r="37" spans="1:14" ht="26.25" customHeight="1">
      <c r="A37" s="88" t="s">
        <v>231</v>
      </c>
      <c r="B37" s="46">
        <v>260</v>
      </c>
      <c r="C37" s="46" t="s">
        <v>5</v>
      </c>
      <c r="D37" s="172">
        <f>E37+I37+K37+H37</f>
        <v>134852487.39000002</v>
      </c>
      <c r="E37" s="172">
        <f>Детализированная!E16+Детализированная!E17+Детализированная!E18+Детализированная!E19+Детализированная!E20+Детализированная!E21+Детализированная!E29+Детализированная!E26</f>
        <v>1491451.43</v>
      </c>
      <c r="F37" s="172"/>
      <c r="G37" s="172"/>
      <c r="H37" s="172">
        <f>Детализированная!F11</f>
        <v>23290015</v>
      </c>
      <c r="I37" s="172">
        <f>Детализированная!P16+Детализированная!P17+Детализированная!P18+Детализированная!P19+Детализированная!P20+Детализированная!P21+Детализированная!P26+Детализированная!P29</f>
        <v>94847337</v>
      </c>
      <c r="J37" s="172"/>
      <c r="K37" s="192">
        <f>(Детализированная!K16+Детализированная!K17+Детализированная!K18+Детализированная!K19+Детализированная!K20+Детализированная!K21+Детализированная!K26+Детализированная!K29+Детализированная!L16+Детализированная!L17+Детализированная!L18+Детализированная!L19+Детализированная!L20+Детализированная!L21+Детализированная!L26+Детализированная!L29+Детализированная!R26+Детализированная!R29+Детализированная!R21)</f>
        <v>15223683.960000003</v>
      </c>
      <c r="L37" s="123"/>
      <c r="N37" s="205"/>
    </row>
    <row r="38" spans="1:14" ht="24.6">
      <c r="A38" s="88" t="s">
        <v>232</v>
      </c>
      <c r="B38" s="46">
        <v>300</v>
      </c>
      <c r="C38" s="46" t="s">
        <v>5</v>
      </c>
      <c r="D38" s="123"/>
      <c r="E38" s="172"/>
      <c r="F38" s="172"/>
      <c r="G38" s="172"/>
      <c r="H38" s="172"/>
      <c r="I38" s="172"/>
      <c r="J38" s="172"/>
      <c r="K38" s="172"/>
      <c r="L38" s="123"/>
    </row>
    <row r="39" spans="1:14" ht="36.6">
      <c r="A39" s="88" t="s">
        <v>233</v>
      </c>
      <c r="B39" s="46">
        <v>310</v>
      </c>
      <c r="C39" s="46"/>
      <c r="D39" s="123"/>
      <c r="E39" s="172"/>
      <c r="F39" s="172"/>
      <c r="G39" s="172"/>
      <c r="H39" s="172"/>
      <c r="I39" s="172"/>
      <c r="J39" s="172"/>
      <c r="K39" s="172"/>
      <c r="L39" s="123"/>
    </row>
    <row r="40" spans="1:14">
      <c r="A40" s="88" t="s">
        <v>234</v>
      </c>
      <c r="B40" s="46">
        <v>320</v>
      </c>
      <c r="C40" s="46"/>
      <c r="D40" s="123"/>
      <c r="E40" s="172"/>
      <c r="F40" s="172"/>
      <c r="G40" s="172"/>
      <c r="H40" s="172"/>
      <c r="I40" s="172"/>
      <c r="J40" s="172"/>
      <c r="K40" s="172"/>
      <c r="L40" s="123"/>
    </row>
    <row r="41" spans="1:14" ht="24.6">
      <c r="A41" s="88" t="s">
        <v>235</v>
      </c>
      <c r="B41" s="46">
        <v>400</v>
      </c>
      <c r="C41" s="46"/>
      <c r="D41" s="123"/>
      <c r="E41" s="172"/>
      <c r="F41" s="172"/>
      <c r="G41" s="172"/>
      <c r="H41" s="172"/>
      <c r="I41" s="172"/>
      <c r="J41" s="172"/>
      <c r="K41" s="172"/>
      <c r="L41" s="123"/>
    </row>
    <row r="42" spans="1:14" ht="48.6">
      <c r="A42" s="88" t="s">
        <v>236</v>
      </c>
      <c r="B42" s="46">
        <v>410</v>
      </c>
      <c r="C42" s="46"/>
      <c r="D42" s="123"/>
      <c r="E42" s="123"/>
      <c r="F42" s="123"/>
      <c r="G42" s="123"/>
      <c r="H42" s="123"/>
      <c r="I42" s="123"/>
      <c r="J42" s="123"/>
      <c r="K42" s="123"/>
      <c r="L42" s="123"/>
    </row>
    <row r="43" spans="1:14">
      <c r="A43" s="88" t="s">
        <v>237</v>
      </c>
      <c r="B43" s="46">
        <v>420</v>
      </c>
      <c r="C43" s="46"/>
      <c r="D43" s="123"/>
      <c r="E43" s="123"/>
      <c r="F43" s="123"/>
      <c r="G43" s="123"/>
      <c r="H43" s="123"/>
      <c r="I43" s="123"/>
      <c r="J43" s="123"/>
      <c r="K43" s="123"/>
      <c r="L43" s="123"/>
    </row>
    <row r="44" spans="1:14" ht="24">
      <c r="A44" s="89" t="s">
        <v>238</v>
      </c>
      <c r="B44" s="90">
        <v>500</v>
      </c>
      <c r="C44" s="90" t="s">
        <v>5</v>
      </c>
      <c r="D44" s="124">
        <f>E44+I44+K44+H44</f>
        <v>25566756.41</v>
      </c>
      <c r="E44" s="124">
        <f>Детализированная!E7</f>
        <v>0</v>
      </c>
      <c r="F44" s="124"/>
      <c r="G44" s="124"/>
      <c r="H44" s="124">
        <f>Детализированная!F7</f>
        <v>15000000</v>
      </c>
      <c r="I44" s="186">
        <f>Детализированная!P7</f>
        <v>8944762.6500000004</v>
      </c>
      <c r="J44" s="186"/>
      <c r="K44" s="124">
        <f>Детализированная!L7+Детализированная!K7+Детализированная!R7</f>
        <v>1621993.76</v>
      </c>
      <c r="L44" s="124"/>
    </row>
    <row r="45" spans="1:14" ht="24">
      <c r="A45" s="89" t="s">
        <v>239</v>
      </c>
      <c r="B45" s="90">
        <v>600</v>
      </c>
      <c r="C45" s="90" t="s">
        <v>5</v>
      </c>
      <c r="D45" s="124">
        <f>E45+I45+K45</f>
        <v>0</v>
      </c>
      <c r="E45" s="124">
        <f>E44+E9-E24</f>
        <v>0</v>
      </c>
      <c r="F45" s="124"/>
      <c r="G45" s="124"/>
      <c r="H45" s="124">
        <f>H44+H9-H24</f>
        <v>0</v>
      </c>
      <c r="I45" s="186">
        <f>I44+I9-(I24-J24)</f>
        <v>0</v>
      </c>
      <c r="J45" s="186"/>
      <c r="K45" s="124">
        <f>K44+K9-K24</f>
        <v>0</v>
      </c>
      <c r="L45" s="124"/>
    </row>
  </sheetData>
  <mergeCells count="13">
    <mergeCell ref="H6:H7"/>
    <mergeCell ref="K6:L6"/>
    <mergeCell ref="I6:J6"/>
    <mergeCell ref="A2:L2"/>
    <mergeCell ref="A4:A7"/>
    <mergeCell ref="B4:B7"/>
    <mergeCell ref="C4:C7"/>
    <mergeCell ref="D4:L4"/>
    <mergeCell ref="D5:D7"/>
    <mergeCell ref="E5:L5"/>
    <mergeCell ref="E6:E7"/>
    <mergeCell ref="F6:F7"/>
    <mergeCell ref="G6:G7"/>
  </mergeCells>
  <pageMargins left="0.70866141732283472" right="0.11811023622047245" top="0" bottom="0" header="0.31496062992125984" footer="0.31496062992125984"/>
  <pageSetup paperSize="9" scale="63" orientation="portrait" r:id="rId1"/>
</worksheet>
</file>

<file path=xl/worksheets/sheet11.xml><?xml version="1.0" encoding="utf-8"?>
<worksheet xmlns="http://schemas.openxmlformats.org/spreadsheetml/2006/main" xmlns:r="http://schemas.openxmlformats.org/officeDocument/2006/relationships">
  <dimension ref="A1:I167"/>
  <sheetViews>
    <sheetView tabSelected="1" topLeftCell="A10" workbookViewId="0">
      <selection activeCell="A9" sqref="A9"/>
    </sheetView>
  </sheetViews>
  <sheetFormatPr defaultRowHeight="14.4"/>
  <cols>
    <col min="3" max="3" width="10.33203125" customWidth="1"/>
    <col min="4" max="4" width="10" customWidth="1"/>
    <col min="5" max="5" width="10.33203125" customWidth="1"/>
    <col min="6" max="6" width="12" customWidth="1"/>
    <col min="7" max="7" width="15.6640625" customWidth="1"/>
    <col min="8" max="8" width="16.109375" customWidth="1"/>
    <col min="9" max="9" width="18.5546875" style="84" customWidth="1"/>
  </cols>
  <sheetData>
    <row r="1" spans="1:9">
      <c r="A1" s="135"/>
    </row>
    <row r="2" spans="1:9">
      <c r="A2" s="136"/>
    </row>
    <row r="3" spans="1:9" ht="15.6">
      <c r="A3" s="357" t="s">
        <v>711</v>
      </c>
      <c r="B3" s="357"/>
      <c r="C3" s="357"/>
      <c r="D3" s="357"/>
      <c r="E3" s="357"/>
      <c r="F3" s="357"/>
      <c r="G3" s="357"/>
      <c r="H3" s="357"/>
      <c r="I3" s="357"/>
    </row>
    <row r="4" spans="1:9" ht="15.6">
      <c r="A4" s="357" t="s">
        <v>1513</v>
      </c>
      <c r="B4" s="357"/>
      <c r="C4" s="357"/>
      <c r="D4" s="357"/>
      <c r="E4" s="357"/>
      <c r="F4" s="357"/>
      <c r="G4" s="357"/>
      <c r="H4" s="357"/>
      <c r="I4" s="357"/>
    </row>
    <row r="5" spans="1:9" ht="15.6">
      <c r="A5" s="357" t="s">
        <v>712</v>
      </c>
      <c r="B5" s="357"/>
      <c r="C5" s="357"/>
      <c r="D5" s="357"/>
      <c r="E5" s="357"/>
      <c r="F5" s="357"/>
      <c r="G5" s="357"/>
      <c r="H5" s="357"/>
      <c r="I5" s="357"/>
    </row>
    <row r="6" spans="1:9">
      <c r="A6" s="358"/>
      <c r="B6" s="358"/>
      <c r="C6" s="358"/>
      <c r="D6" s="358"/>
      <c r="E6" s="358"/>
      <c r="F6" s="358"/>
      <c r="G6" s="358"/>
      <c r="H6" s="358"/>
      <c r="I6" s="358"/>
    </row>
    <row r="7" spans="1:9" ht="15.6">
      <c r="A7" s="357" t="s">
        <v>1514</v>
      </c>
      <c r="B7" s="357"/>
      <c r="C7" s="357"/>
      <c r="D7" s="357"/>
      <c r="E7" s="357"/>
      <c r="F7" s="357"/>
      <c r="G7" s="357"/>
      <c r="H7" s="357"/>
      <c r="I7" s="357"/>
    </row>
    <row r="8" spans="1:9" s="50" customFormat="1" ht="15.6">
      <c r="A8" s="359" t="s">
        <v>1549</v>
      </c>
      <c r="B8" s="359"/>
      <c r="C8" s="359"/>
      <c r="D8" s="359"/>
      <c r="E8" s="359"/>
      <c r="F8" s="359"/>
      <c r="G8" s="359"/>
      <c r="H8" s="359"/>
      <c r="I8" s="359"/>
    </row>
    <row r="9" spans="1:9">
      <c r="A9" s="97"/>
    </row>
    <row r="10" spans="1:9" ht="15.6">
      <c r="A10" s="189"/>
    </row>
    <row r="11" spans="1:9" ht="16.8">
      <c r="A11" s="349" t="s">
        <v>713</v>
      </c>
      <c r="B11" s="349"/>
      <c r="C11" s="349"/>
      <c r="D11" s="349"/>
      <c r="E11" s="349"/>
      <c r="F11" s="349"/>
      <c r="G11" s="349"/>
      <c r="H11" s="349"/>
      <c r="I11" s="349"/>
    </row>
    <row r="12" spans="1:9" ht="16.8">
      <c r="A12" s="350" t="s">
        <v>714</v>
      </c>
      <c r="B12" s="350"/>
      <c r="C12" s="350"/>
      <c r="D12" s="350"/>
      <c r="E12" s="350"/>
      <c r="F12" s="350"/>
      <c r="G12" s="350"/>
      <c r="H12" s="350"/>
      <c r="I12" s="350"/>
    </row>
    <row r="13" spans="1:9" s="50" customFormat="1" ht="16.8">
      <c r="A13" s="351" t="s">
        <v>1526</v>
      </c>
      <c r="B13" s="351"/>
      <c r="C13" s="351"/>
      <c r="D13" s="351"/>
      <c r="E13" s="351"/>
      <c r="F13" s="351"/>
      <c r="G13" s="351"/>
      <c r="H13" s="351"/>
      <c r="I13" s="351"/>
    </row>
    <row r="14" spans="1:9" s="50" customFormat="1" ht="16.8">
      <c r="A14" s="196"/>
      <c r="B14" s="196"/>
      <c r="C14" s="351" t="s">
        <v>1527</v>
      </c>
      <c r="D14" s="351"/>
      <c r="E14" s="351"/>
      <c r="F14" s="351"/>
      <c r="G14" s="351"/>
      <c r="H14" s="351"/>
      <c r="I14" s="196"/>
    </row>
    <row r="15" spans="1:9" s="194" customFormat="1" ht="13.5" customHeight="1">
      <c r="A15" s="193"/>
      <c r="C15" s="360" t="s">
        <v>774</v>
      </c>
      <c r="D15" s="360"/>
      <c r="E15" s="360"/>
      <c r="F15" s="360"/>
      <c r="G15" s="360"/>
      <c r="H15" s="360"/>
      <c r="I15" s="195"/>
    </row>
    <row r="16" spans="1:9" ht="15.6">
      <c r="A16" s="188"/>
      <c r="B16" s="188"/>
      <c r="C16" s="137"/>
      <c r="D16" s="138"/>
      <c r="I16" s="139" t="s">
        <v>715</v>
      </c>
    </row>
    <row r="17" spans="1:9" ht="31.2">
      <c r="A17" s="188"/>
      <c r="B17" s="188"/>
      <c r="C17" s="140"/>
      <c r="D17" s="138"/>
      <c r="H17" s="140"/>
      <c r="I17" s="190" t="s">
        <v>865</v>
      </c>
    </row>
    <row r="18" spans="1:9" s="50" customFormat="1" ht="15.75" customHeight="1">
      <c r="A18" s="352" t="s">
        <v>1525</v>
      </c>
      <c r="B18" s="352"/>
      <c r="C18" s="352"/>
      <c r="D18" s="352"/>
      <c r="E18" s="352"/>
      <c r="F18" s="352"/>
      <c r="G18" s="352"/>
      <c r="H18" s="197" t="s">
        <v>716</v>
      </c>
      <c r="I18" s="198" t="s">
        <v>1528</v>
      </c>
    </row>
    <row r="19" spans="1:9">
      <c r="A19" s="188"/>
      <c r="B19" s="188"/>
      <c r="C19" s="137"/>
      <c r="D19" s="142"/>
      <c r="H19" s="137"/>
      <c r="I19" s="141"/>
    </row>
    <row r="20" spans="1:9">
      <c r="A20" s="188"/>
      <c r="B20" s="188"/>
      <c r="C20" s="137"/>
      <c r="D20" s="142"/>
      <c r="H20" s="137"/>
      <c r="I20" s="141"/>
    </row>
    <row r="21" spans="1:9" ht="15.75" customHeight="1">
      <c r="A21" s="353" t="s">
        <v>717</v>
      </c>
      <c r="B21" s="353"/>
      <c r="C21" s="353"/>
      <c r="D21" s="353"/>
      <c r="E21" s="353"/>
      <c r="F21" s="353"/>
      <c r="G21" s="353"/>
      <c r="H21" s="354"/>
      <c r="I21" s="355" t="s">
        <v>866</v>
      </c>
    </row>
    <row r="22" spans="1:9" ht="54.75" customHeight="1">
      <c r="A22" s="353" t="s">
        <v>718</v>
      </c>
      <c r="B22" s="353"/>
      <c r="C22" s="353"/>
      <c r="D22" s="353"/>
      <c r="E22" s="353"/>
      <c r="F22" s="353"/>
      <c r="G22" s="353"/>
      <c r="H22" s="140"/>
      <c r="I22" s="356"/>
    </row>
    <row r="23" spans="1:9">
      <c r="A23" s="363"/>
      <c r="B23" s="363"/>
      <c r="C23" s="137"/>
      <c r="D23" s="142"/>
      <c r="H23" s="137"/>
      <c r="I23" s="141"/>
    </row>
    <row r="24" spans="1:9">
      <c r="A24" s="363"/>
      <c r="B24" s="363"/>
      <c r="C24" s="137"/>
      <c r="D24" s="142"/>
      <c r="H24" s="137"/>
      <c r="I24" s="141"/>
    </row>
    <row r="25" spans="1:9" ht="16.649999999999999" customHeight="1">
      <c r="A25" s="364" t="s">
        <v>719</v>
      </c>
      <c r="B25" s="364"/>
      <c r="C25" s="364"/>
      <c r="D25" s="364"/>
      <c r="E25" s="364"/>
      <c r="F25" s="364"/>
      <c r="G25" s="364"/>
      <c r="H25" s="365"/>
      <c r="I25" s="141"/>
    </row>
    <row r="26" spans="1:9" ht="15.6">
      <c r="A26" s="187"/>
      <c r="B26" s="187"/>
      <c r="C26" s="187"/>
      <c r="D26" s="187"/>
      <c r="E26" s="187"/>
      <c r="F26" s="187"/>
      <c r="G26" s="187"/>
      <c r="H26" s="159"/>
      <c r="I26" s="141"/>
    </row>
    <row r="27" spans="1:9" s="162" customFormat="1" ht="32.25" customHeight="1">
      <c r="A27" s="367" t="s">
        <v>775</v>
      </c>
      <c r="B27" s="367"/>
      <c r="C27" s="367"/>
      <c r="D27" s="367"/>
      <c r="E27" s="367"/>
      <c r="F27" s="367"/>
      <c r="G27" s="367"/>
      <c r="H27" s="164"/>
      <c r="I27" s="191" t="s">
        <v>776</v>
      </c>
    </row>
    <row r="28" spans="1:9" s="162" customFormat="1" ht="19.5" customHeight="1">
      <c r="A28" s="163"/>
      <c r="B28" s="163"/>
      <c r="C28" s="163"/>
      <c r="D28" s="163"/>
      <c r="E28" s="163"/>
      <c r="F28" s="163"/>
      <c r="G28" s="163"/>
      <c r="H28" s="160"/>
      <c r="I28" s="161"/>
    </row>
    <row r="29" spans="1:9" ht="15.75" customHeight="1">
      <c r="A29" s="364" t="s">
        <v>867</v>
      </c>
      <c r="B29" s="364"/>
      <c r="C29" s="364"/>
      <c r="D29" s="364"/>
      <c r="E29" s="364"/>
      <c r="F29" s="364"/>
      <c r="G29" s="364"/>
      <c r="H29" s="143"/>
      <c r="I29" s="190" t="s">
        <v>868</v>
      </c>
    </row>
    <row r="30" spans="1:9" ht="15.6">
      <c r="A30" s="366"/>
      <c r="B30" s="366"/>
      <c r="C30" s="366"/>
      <c r="D30" s="366"/>
      <c r="E30" s="366"/>
      <c r="F30" s="366"/>
      <c r="G30" s="366"/>
      <c r="H30" s="366"/>
      <c r="I30" s="366"/>
    </row>
    <row r="31" spans="1:9" ht="15.6">
      <c r="A31" s="361" t="s">
        <v>720</v>
      </c>
      <c r="B31" s="361"/>
      <c r="C31" s="361"/>
      <c r="D31" s="361"/>
      <c r="E31" s="361"/>
      <c r="F31" s="361"/>
      <c r="G31" s="361"/>
      <c r="H31" s="361"/>
      <c r="I31" s="361"/>
    </row>
    <row r="32" spans="1:9" ht="15.6">
      <c r="A32" s="361" t="s">
        <v>777</v>
      </c>
      <c r="B32" s="361"/>
      <c r="C32" s="361"/>
      <c r="D32" s="361"/>
      <c r="E32" s="361"/>
      <c r="F32" s="361"/>
      <c r="G32" s="361"/>
      <c r="H32" s="361"/>
      <c r="I32" s="361"/>
    </row>
    <row r="33" spans="1:9" ht="15.6">
      <c r="A33" s="361"/>
      <c r="B33" s="361"/>
      <c r="C33" s="361"/>
      <c r="D33" s="361"/>
      <c r="E33" s="361"/>
      <c r="F33" s="361"/>
      <c r="G33" s="361"/>
      <c r="H33" s="361"/>
      <c r="I33" s="361"/>
    </row>
    <row r="34" spans="1:9" ht="15.6">
      <c r="A34" s="362" t="s">
        <v>778</v>
      </c>
      <c r="B34" s="362"/>
      <c r="C34" s="362"/>
      <c r="D34" s="362"/>
      <c r="E34" s="362"/>
      <c r="F34" s="362"/>
      <c r="G34" s="362"/>
      <c r="H34" s="362"/>
      <c r="I34" s="362"/>
    </row>
    <row r="35" spans="1:9" ht="15.6">
      <c r="A35" s="361"/>
      <c r="B35" s="361"/>
      <c r="C35" s="361"/>
      <c r="D35" s="361"/>
      <c r="E35" s="361"/>
      <c r="F35" s="361"/>
      <c r="G35" s="361"/>
      <c r="H35" s="361"/>
      <c r="I35" s="361"/>
    </row>
    <row r="36" spans="1:9" ht="15.6">
      <c r="A36" s="361" t="s">
        <v>779</v>
      </c>
      <c r="B36" s="361"/>
      <c r="C36" s="361"/>
      <c r="D36" s="361"/>
      <c r="E36" s="361"/>
      <c r="F36" s="361"/>
      <c r="G36" s="361"/>
      <c r="H36" s="361"/>
      <c r="I36" s="361"/>
    </row>
    <row r="37" spans="1:9" ht="12" customHeight="1">
      <c r="A37" s="361"/>
      <c r="B37" s="361"/>
      <c r="C37" s="361"/>
      <c r="D37" s="361"/>
      <c r="E37" s="361"/>
      <c r="F37" s="361"/>
      <c r="G37" s="361"/>
      <c r="H37" s="361"/>
      <c r="I37" s="361"/>
    </row>
    <row r="38" spans="1:9" ht="17.399999999999999">
      <c r="A38" s="371" t="s">
        <v>721</v>
      </c>
      <c r="B38" s="371"/>
      <c r="C38" s="371"/>
      <c r="D38" s="371"/>
      <c r="E38" s="371"/>
      <c r="F38" s="371"/>
      <c r="G38" s="371"/>
      <c r="H38" s="371"/>
      <c r="I38" s="371"/>
    </row>
    <row r="39" spans="1:9" ht="17.399999999999999">
      <c r="A39" s="371" t="s">
        <v>722</v>
      </c>
      <c r="B39" s="371"/>
      <c r="C39" s="371"/>
      <c r="D39" s="371"/>
      <c r="E39" s="371"/>
      <c r="F39" s="371"/>
      <c r="G39" s="371"/>
      <c r="H39" s="371"/>
      <c r="I39" s="371"/>
    </row>
    <row r="40" spans="1:9" ht="17.399999999999999">
      <c r="A40" s="371" t="s">
        <v>723</v>
      </c>
      <c r="B40" s="371"/>
      <c r="C40" s="371"/>
      <c r="D40" s="371"/>
      <c r="E40" s="371"/>
      <c r="F40" s="371"/>
      <c r="G40" s="371"/>
      <c r="H40" s="371"/>
      <c r="I40" s="371"/>
    </row>
    <row r="41" spans="1:9" ht="17.399999999999999">
      <c r="A41" s="371"/>
      <c r="B41" s="371"/>
      <c r="C41" s="371"/>
      <c r="D41" s="371"/>
      <c r="E41" s="371"/>
      <c r="F41" s="371"/>
      <c r="G41" s="371"/>
      <c r="H41" s="371"/>
      <c r="I41" s="371"/>
    </row>
    <row r="42" spans="1:9" ht="17.399999999999999">
      <c r="A42" s="144"/>
      <c r="B42" s="144"/>
      <c r="C42" s="144"/>
      <c r="E42" s="144"/>
      <c r="F42" s="144"/>
      <c r="G42" s="144"/>
      <c r="H42" s="144"/>
      <c r="I42" s="145"/>
    </row>
    <row r="43" spans="1:9" ht="17.399999999999999">
      <c r="A43" s="144"/>
      <c r="B43" s="144"/>
      <c r="C43" s="144"/>
      <c r="E43" s="144"/>
      <c r="F43" s="144"/>
      <c r="G43" s="144"/>
      <c r="H43" s="144"/>
      <c r="I43" s="145"/>
    </row>
    <row r="44" spans="1:9" ht="17.399999999999999">
      <c r="A44" s="144"/>
      <c r="B44" s="144"/>
      <c r="C44" s="144"/>
      <c r="E44" s="144"/>
      <c r="F44" s="144"/>
      <c r="G44" s="144"/>
      <c r="H44" s="144"/>
      <c r="I44" s="145"/>
    </row>
    <row r="45" spans="1:9" ht="17.399999999999999">
      <c r="A45" s="144"/>
      <c r="B45" s="144"/>
      <c r="C45" s="144"/>
      <c r="E45" s="144"/>
      <c r="F45" s="144"/>
      <c r="G45" s="144"/>
      <c r="H45" s="144"/>
      <c r="I45" s="145"/>
    </row>
    <row r="46" spans="1:9" ht="17.399999999999999">
      <c r="A46" s="144"/>
      <c r="B46" s="144"/>
      <c r="C46" s="144"/>
      <c r="E46" s="144"/>
      <c r="F46" s="144"/>
      <c r="G46" s="144"/>
      <c r="H46" s="144"/>
      <c r="I46" s="145"/>
    </row>
    <row r="47" spans="1:9" ht="17.399999999999999">
      <c r="A47" s="144"/>
      <c r="B47" s="144"/>
      <c r="C47" s="144"/>
      <c r="E47" s="144"/>
      <c r="F47" s="144"/>
      <c r="G47" s="144"/>
      <c r="H47" s="144"/>
      <c r="I47" s="145"/>
    </row>
    <row r="48" spans="1:9" ht="17.399999999999999">
      <c r="A48" s="144"/>
      <c r="B48" s="144"/>
      <c r="C48" s="144"/>
      <c r="E48" s="144"/>
      <c r="F48" s="144"/>
      <c r="G48" s="144"/>
      <c r="H48" s="144"/>
      <c r="I48" s="145"/>
    </row>
    <row r="49" spans="1:9" ht="17.399999999999999">
      <c r="A49" s="144"/>
      <c r="B49" s="144"/>
      <c r="C49" s="144"/>
      <c r="E49" s="144"/>
      <c r="F49" s="144"/>
      <c r="G49" s="144"/>
      <c r="H49" s="144"/>
      <c r="I49" s="145"/>
    </row>
    <row r="50" spans="1:9" ht="17.399999999999999">
      <c r="A50" s="144"/>
      <c r="B50" s="144"/>
      <c r="C50" s="144"/>
      <c r="E50" s="144"/>
      <c r="F50" s="144"/>
      <c r="G50" s="144"/>
      <c r="H50" s="144"/>
      <c r="I50" s="145"/>
    </row>
    <row r="51" spans="1:9" ht="17.399999999999999">
      <c r="A51" s="144"/>
      <c r="B51" s="144"/>
      <c r="C51" s="144"/>
      <c r="E51" s="144"/>
      <c r="F51" s="144"/>
      <c r="G51" s="144"/>
      <c r="H51" s="144"/>
      <c r="I51" s="145"/>
    </row>
    <row r="52" spans="1:9" ht="17.399999999999999">
      <c r="A52" s="144"/>
      <c r="B52" s="144"/>
      <c r="C52" s="144"/>
      <c r="E52" s="144"/>
      <c r="F52" s="144"/>
      <c r="G52" s="144"/>
      <c r="H52" s="144"/>
      <c r="I52" s="145"/>
    </row>
    <row r="53" spans="1:9" ht="17.399999999999999">
      <c r="A53" s="144"/>
      <c r="B53" s="144"/>
      <c r="C53" s="144"/>
      <c r="E53" s="144"/>
      <c r="F53" s="144"/>
      <c r="G53" s="144"/>
      <c r="H53" s="144"/>
      <c r="I53" s="145"/>
    </row>
    <row r="54" spans="1:9" ht="17.399999999999999">
      <c r="A54" s="144"/>
      <c r="B54" s="144"/>
      <c r="C54" s="144"/>
      <c r="E54" s="144"/>
      <c r="F54" s="144"/>
      <c r="G54" s="144"/>
      <c r="H54" s="144"/>
      <c r="I54" s="145"/>
    </row>
    <row r="55" spans="1:9" ht="17.399999999999999">
      <c r="A55" s="144"/>
      <c r="B55" s="144"/>
      <c r="C55" s="144"/>
      <c r="E55" s="144"/>
      <c r="F55" s="144"/>
      <c r="G55" s="144"/>
      <c r="H55" s="144"/>
      <c r="I55" s="145"/>
    </row>
    <row r="56" spans="1:9" ht="15.6">
      <c r="A56" s="368" t="s">
        <v>724</v>
      </c>
      <c r="B56" s="368"/>
      <c r="C56" s="368"/>
      <c r="D56" s="368"/>
      <c r="E56" s="368"/>
      <c r="F56" s="368"/>
      <c r="G56" s="368"/>
      <c r="H56" s="368"/>
      <c r="I56" s="368"/>
    </row>
    <row r="57" spans="1:9" ht="15.6">
      <c r="A57" s="368" t="s">
        <v>725</v>
      </c>
      <c r="B57" s="368"/>
      <c r="C57" s="368"/>
      <c r="D57" s="368"/>
      <c r="E57" s="368"/>
      <c r="F57" s="368"/>
      <c r="G57" s="368"/>
      <c r="H57" s="368"/>
      <c r="I57" s="368"/>
    </row>
    <row r="58" spans="1:9" ht="15.6">
      <c r="A58" s="361"/>
      <c r="B58" s="361"/>
      <c r="C58" s="361"/>
      <c r="D58" s="361"/>
      <c r="E58" s="361"/>
      <c r="F58" s="361"/>
      <c r="G58" s="361"/>
      <c r="H58" s="361"/>
      <c r="I58" s="361"/>
    </row>
    <row r="59" spans="1:9" ht="15.6">
      <c r="A59" s="369" t="s">
        <v>726</v>
      </c>
      <c r="B59" s="369"/>
      <c r="C59" s="369"/>
      <c r="D59" s="369"/>
      <c r="E59" s="369"/>
      <c r="F59" s="369"/>
      <c r="G59" s="369"/>
      <c r="H59" s="369"/>
      <c r="I59" s="369"/>
    </row>
    <row r="60" spans="1:9" ht="69.75" customHeight="1">
      <c r="A60" s="370" t="s">
        <v>727</v>
      </c>
      <c r="B60" s="370"/>
      <c r="C60" s="370"/>
      <c r="D60" s="370"/>
      <c r="E60" s="370"/>
      <c r="F60" s="370"/>
      <c r="G60" s="370"/>
      <c r="H60" s="370"/>
      <c r="I60" s="370"/>
    </row>
    <row r="61" spans="1:9" ht="15.6">
      <c r="A61" s="369"/>
      <c r="B61" s="369"/>
      <c r="C61" s="369"/>
      <c r="D61" s="369"/>
      <c r="E61" s="369"/>
      <c r="F61" s="369"/>
      <c r="G61" s="369"/>
      <c r="H61" s="369"/>
      <c r="I61" s="369"/>
    </row>
    <row r="62" spans="1:9" ht="18.75" customHeight="1">
      <c r="A62" s="369" t="s">
        <v>728</v>
      </c>
      <c r="B62" s="369"/>
      <c r="C62" s="369"/>
      <c r="D62" s="369"/>
      <c r="E62" s="369"/>
      <c r="F62" s="369"/>
      <c r="G62" s="369"/>
      <c r="H62" s="369"/>
      <c r="I62" s="369"/>
    </row>
    <row r="63" spans="1:9" ht="17.25" customHeight="1">
      <c r="A63" s="369" t="s">
        <v>729</v>
      </c>
      <c r="B63" s="369"/>
      <c r="C63" s="369"/>
      <c r="D63" s="369"/>
      <c r="E63" s="369"/>
      <c r="F63" s="369"/>
      <c r="G63" s="369"/>
      <c r="H63" s="369"/>
      <c r="I63" s="369"/>
    </row>
    <row r="64" spans="1:9" ht="122.25" customHeight="1">
      <c r="A64" s="370" t="s">
        <v>730</v>
      </c>
      <c r="B64" s="370"/>
      <c r="C64" s="370"/>
      <c r="D64" s="370"/>
      <c r="E64" s="370"/>
      <c r="F64" s="370"/>
      <c r="G64" s="370"/>
      <c r="H64" s="370"/>
      <c r="I64" s="370"/>
    </row>
    <row r="65" spans="1:9" ht="24.75" customHeight="1">
      <c r="A65" s="369" t="s">
        <v>731</v>
      </c>
      <c r="B65" s="369"/>
      <c r="C65" s="369"/>
      <c r="D65" s="369"/>
      <c r="E65" s="369"/>
      <c r="F65" s="369"/>
      <c r="G65" s="369"/>
      <c r="H65" s="369"/>
      <c r="I65" s="369"/>
    </row>
    <row r="66" spans="1:9" ht="93" customHeight="1">
      <c r="A66" s="364" t="s">
        <v>732</v>
      </c>
      <c r="B66" s="364"/>
      <c r="C66" s="364"/>
      <c r="D66" s="364"/>
      <c r="E66" s="364"/>
      <c r="F66" s="364"/>
      <c r="G66" s="364"/>
      <c r="H66" s="364"/>
      <c r="I66" s="364"/>
    </row>
    <row r="67" spans="1:9" ht="30.9" customHeight="1">
      <c r="A67" s="369" t="s">
        <v>733</v>
      </c>
      <c r="B67" s="369"/>
      <c r="C67" s="369"/>
      <c r="D67" s="369"/>
      <c r="E67" s="369"/>
      <c r="F67" s="369"/>
      <c r="G67" s="369"/>
      <c r="H67" s="369"/>
      <c r="I67" s="369"/>
    </row>
    <row r="68" spans="1:9" ht="128.25" customHeight="1">
      <c r="A68" s="369" t="s">
        <v>734</v>
      </c>
      <c r="B68" s="369"/>
      <c r="C68" s="369"/>
      <c r="D68" s="369"/>
      <c r="E68" s="369"/>
      <c r="F68" s="369"/>
      <c r="G68" s="369"/>
      <c r="H68" s="369"/>
      <c r="I68" s="369"/>
    </row>
    <row r="69" spans="1:9" ht="15.6">
      <c r="A69" s="372" t="s">
        <v>735</v>
      </c>
      <c r="B69" s="372"/>
      <c r="C69" s="372"/>
      <c r="D69" s="372"/>
      <c r="E69" s="372"/>
      <c r="F69" s="372"/>
      <c r="G69" s="372"/>
      <c r="H69" s="372"/>
      <c r="I69" s="372"/>
    </row>
    <row r="70" spans="1:9" ht="63.75" customHeight="1">
      <c r="A70" s="369" t="s">
        <v>736</v>
      </c>
      <c r="B70" s="369"/>
      <c r="C70" s="369"/>
      <c r="D70" s="369"/>
      <c r="E70" s="369"/>
      <c r="F70" s="369"/>
      <c r="G70" s="369"/>
      <c r="H70" s="369"/>
      <c r="I70" s="369"/>
    </row>
    <row r="71" spans="1:9" ht="38.25" customHeight="1">
      <c r="A71" s="369" t="s">
        <v>737</v>
      </c>
      <c r="B71" s="369"/>
      <c r="C71" s="369"/>
      <c r="D71" s="369"/>
      <c r="E71" s="369"/>
      <c r="F71" s="369"/>
      <c r="G71" s="369"/>
      <c r="H71" s="369"/>
      <c r="I71" s="369"/>
    </row>
    <row r="72" spans="1:9" ht="54" customHeight="1">
      <c r="A72" s="369" t="s">
        <v>738</v>
      </c>
      <c r="B72" s="369"/>
      <c r="C72" s="369"/>
      <c r="D72" s="369"/>
      <c r="E72" s="369"/>
      <c r="F72" s="369"/>
      <c r="G72" s="369"/>
      <c r="H72" s="369"/>
      <c r="I72" s="369"/>
    </row>
    <row r="73" spans="1:9" ht="15.6">
      <c r="A73" s="372" t="s">
        <v>739</v>
      </c>
      <c r="B73" s="372"/>
      <c r="C73" s="372"/>
      <c r="D73" s="372"/>
      <c r="E73" s="372"/>
      <c r="F73" s="372"/>
      <c r="G73" s="372"/>
      <c r="H73" s="372"/>
      <c r="I73" s="372"/>
    </row>
    <row r="74" spans="1:9" ht="18.75" customHeight="1">
      <c r="A74" s="369" t="s">
        <v>740</v>
      </c>
      <c r="B74" s="369"/>
      <c r="C74" s="369"/>
      <c r="D74" s="369"/>
      <c r="E74" s="369"/>
      <c r="F74" s="369"/>
      <c r="G74" s="369"/>
      <c r="H74" s="369"/>
      <c r="I74" s="369"/>
    </row>
    <row r="75" spans="1:9" ht="33" customHeight="1">
      <c r="A75" s="369" t="s">
        <v>741</v>
      </c>
      <c r="B75" s="369"/>
      <c r="C75" s="369"/>
      <c r="D75" s="369"/>
      <c r="E75" s="369"/>
      <c r="F75" s="369"/>
      <c r="G75" s="369"/>
      <c r="H75" s="369"/>
      <c r="I75" s="369"/>
    </row>
    <row r="76" spans="1:9" ht="15.6">
      <c r="A76" s="369" t="s">
        <v>742</v>
      </c>
      <c r="B76" s="369"/>
      <c r="C76" s="369"/>
      <c r="D76" s="369"/>
      <c r="E76" s="369"/>
      <c r="F76" s="369"/>
      <c r="G76" s="369"/>
      <c r="H76" s="369"/>
      <c r="I76" s="369"/>
    </row>
    <row r="77" spans="1:9" ht="15.6">
      <c r="A77" s="146" t="s">
        <v>743</v>
      </c>
    </row>
    <row r="78" spans="1:9" ht="33.75" customHeight="1">
      <c r="A78" s="369" t="s">
        <v>744</v>
      </c>
      <c r="B78" s="369"/>
      <c r="C78" s="369"/>
      <c r="D78" s="369"/>
      <c r="E78" s="369"/>
      <c r="F78" s="369"/>
      <c r="G78" s="369"/>
      <c r="H78" s="369"/>
      <c r="I78" s="369"/>
    </row>
    <row r="79" spans="1:9" ht="12" customHeight="1">
      <c r="A79" s="156"/>
      <c r="B79" s="156"/>
      <c r="C79" s="156"/>
      <c r="D79" s="156"/>
      <c r="E79" s="156"/>
      <c r="F79" s="156"/>
      <c r="G79" s="156"/>
      <c r="H79" s="156"/>
      <c r="I79" s="156"/>
    </row>
    <row r="80" spans="1:9" ht="15.6">
      <c r="A80" s="369" t="s">
        <v>745</v>
      </c>
      <c r="B80" s="369"/>
      <c r="C80" s="369"/>
      <c r="D80" s="369"/>
      <c r="E80" s="369"/>
      <c r="F80" s="369"/>
      <c r="G80" s="369"/>
      <c r="H80" s="369"/>
      <c r="I80" s="369"/>
    </row>
    <row r="81" spans="1:9" ht="15.6">
      <c r="A81" s="357" t="s">
        <v>746</v>
      </c>
      <c r="B81" s="357"/>
      <c r="C81" s="357"/>
      <c r="D81" s="357"/>
      <c r="E81" s="357"/>
      <c r="F81" s="357"/>
      <c r="G81" s="357"/>
      <c r="H81" s="357"/>
      <c r="I81" s="357"/>
    </row>
    <row r="82" spans="1:9" ht="15.6">
      <c r="A82" s="147"/>
      <c r="B82" s="147"/>
      <c r="C82" s="147"/>
      <c r="D82" s="147"/>
      <c r="E82" s="147"/>
      <c r="F82" s="147"/>
      <c r="G82" s="147"/>
      <c r="H82" s="147"/>
      <c r="I82" s="148"/>
    </row>
    <row r="83" spans="1:9" ht="15.6">
      <c r="A83" s="368" t="s">
        <v>747</v>
      </c>
      <c r="B83" s="368"/>
      <c r="C83" s="368"/>
      <c r="D83" s="368"/>
      <c r="E83" s="368"/>
      <c r="F83" s="368"/>
      <c r="G83" s="368"/>
      <c r="H83" s="368"/>
      <c r="I83" s="368"/>
    </row>
    <row r="84" spans="1:9" ht="15.6">
      <c r="A84" s="155"/>
      <c r="B84" s="155"/>
      <c r="C84" s="155"/>
      <c r="D84" s="377" t="s">
        <v>1529</v>
      </c>
      <c r="E84" s="377"/>
      <c r="F84" s="377"/>
      <c r="G84" s="377"/>
      <c r="H84" s="155"/>
      <c r="I84" s="155"/>
    </row>
    <row r="85" spans="1:9" ht="8.25" customHeight="1">
      <c r="A85" s="95"/>
      <c r="D85" s="378" t="s">
        <v>780</v>
      </c>
      <c r="E85" s="378"/>
      <c r="F85" s="378"/>
      <c r="G85" s="378"/>
    </row>
    <row r="86" spans="1:9" ht="15.6">
      <c r="A86" s="157"/>
      <c r="D86" s="165"/>
      <c r="E86" s="165"/>
      <c r="F86" s="165"/>
      <c r="G86" s="165"/>
    </row>
    <row r="87" spans="1:9" ht="15.6">
      <c r="A87" s="373" t="s">
        <v>42</v>
      </c>
      <c r="B87" s="373"/>
      <c r="C87" s="373"/>
      <c r="D87" s="373"/>
      <c r="E87" s="373"/>
      <c r="F87" s="373"/>
      <c r="G87" s="373"/>
      <c r="H87" s="373"/>
      <c r="I87" s="149" t="s">
        <v>748</v>
      </c>
    </row>
    <row r="88" spans="1:9" ht="15.6">
      <c r="A88" s="374" t="s">
        <v>825</v>
      </c>
      <c r="B88" s="374"/>
      <c r="C88" s="374"/>
      <c r="D88" s="374"/>
      <c r="E88" s="374"/>
      <c r="F88" s="374"/>
      <c r="G88" s="374"/>
      <c r="H88" s="374"/>
      <c r="I88" s="167">
        <f>I90+I96</f>
        <v>235405996.59</v>
      </c>
    </row>
    <row r="89" spans="1:9" ht="15.6">
      <c r="A89" s="375" t="s">
        <v>749</v>
      </c>
      <c r="B89" s="375"/>
      <c r="C89" s="375"/>
      <c r="D89" s="375"/>
      <c r="E89" s="375"/>
      <c r="F89" s="375"/>
      <c r="G89" s="375"/>
      <c r="H89" s="375"/>
      <c r="I89" s="154"/>
    </row>
    <row r="90" spans="1:9" ht="30.9" customHeight="1">
      <c r="A90" s="376" t="s">
        <v>750</v>
      </c>
      <c r="B90" s="376"/>
      <c r="C90" s="376"/>
      <c r="D90" s="376"/>
      <c r="E90" s="376"/>
      <c r="F90" s="376"/>
      <c r="G90" s="376"/>
      <c r="H90" s="376"/>
      <c r="I90" s="152">
        <f>I92</f>
        <v>98717742.780000001</v>
      </c>
    </row>
    <row r="91" spans="1:9" ht="15.6">
      <c r="A91" s="376" t="s">
        <v>115</v>
      </c>
      <c r="B91" s="376"/>
      <c r="C91" s="376"/>
      <c r="D91" s="376"/>
      <c r="E91" s="376"/>
      <c r="F91" s="376"/>
      <c r="G91" s="376"/>
      <c r="H91" s="376"/>
      <c r="I91" s="154"/>
    </row>
    <row r="92" spans="1:9" ht="50.4" customHeight="1">
      <c r="A92" s="379" t="s">
        <v>751</v>
      </c>
      <c r="B92" s="379"/>
      <c r="C92" s="379"/>
      <c r="D92" s="379"/>
      <c r="E92" s="379"/>
      <c r="F92" s="379"/>
      <c r="G92" s="379"/>
      <c r="H92" s="379"/>
      <c r="I92" s="152">
        <v>98717742.780000001</v>
      </c>
    </row>
    <row r="93" spans="1:9" ht="45.9" customHeight="1">
      <c r="A93" s="379" t="s">
        <v>772</v>
      </c>
      <c r="B93" s="379"/>
      <c r="C93" s="379"/>
      <c r="D93" s="379"/>
      <c r="E93" s="379"/>
      <c r="F93" s="379"/>
      <c r="G93" s="379"/>
      <c r="H93" s="379"/>
      <c r="I93" s="154"/>
    </row>
    <row r="94" spans="1:9" ht="48.75" customHeight="1">
      <c r="A94" s="379" t="s">
        <v>752</v>
      </c>
      <c r="B94" s="379"/>
      <c r="C94" s="379"/>
      <c r="D94" s="379"/>
      <c r="E94" s="379"/>
      <c r="F94" s="379"/>
      <c r="G94" s="379"/>
      <c r="H94" s="379"/>
      <c r="I94" s="154"/>
    </row>
    <row r="95" spans="1:9" ht="30.75" customHeight="1">
      <c r="A95" s="379" t="s">
        <v>753</v>
      </c>
      <c r="B95" s="379"/>
      <c r="C95" s="379"/>
      <c r="D95" s="379"/>
      <c r="E95" s="379"/>
      <c r="F95" s="379"/>
      <c r="G95" s="379"/>
      <c r="H95" s="379"/>
      <c r="I95" s="152">
        <v>48079452.859999999</v>
      </c>
    </row>
    <row r="96" spans="1:9" ht="29.55" customHeight="1">
      <c r="A96" s="376" t="s">
        <v>754</v>
      </c>
      <c r="B96" s="376"/>
      <c r="C96" s="376"/>
      <c r="D96" s="376"/>
      <c r="E96" s="376"/>
      <c r="F96" s="376"/>
      <c r="G96" s="376"/>
      <c r="H96" s="376"/>
      <c r="I96" s="152">
        <v>136688253.81</v>
      </c>
    </row>
    <row r="97" spans="1:9" ht="15.6">
      <c r="A97" s="379" t="s">
        <v>313</v>
      </c>
      <c r="B97" s="379"/>
      <c r="C97" s="379"/>
      <c r="D97" s="379"/>
      <c r="E97" s="379"/>
      <c r="F97" s="379"/>
      <c r="G97" s="379"/>
      <c r="H97" s="379"/>
      <c r="I97" s="154"/>
    </row>
    <row r="98" spans="1:9" ht="24" customHeight="1">
      <c r="A98" s="379" t="s">
        <v>755</v>
      </c>
      <c r="B98" s="379"/>
      <c r="C98" s="379"/>
      <c r="D98" s="379"/>
      <c r="E98" s="379"/>
      <c r="F98" s="379"/>
      <c r="G98" s="379"/>
      <c r="H98" s="379"/>
      <c r="I98" s="152">
        <v>102540303.08</v>
      </c>
    </row>
    <row r="99" spans="1:9" ht="21" customHeight="1">
      <c r="A99" s="379" t="s">
        <v>756</v>
      </c>
      <c r="B99" s="379"/>
      <c r="C99" s="379"/>
      <c r="D99" s="379"/>
      <c r="E99" s="379"/>
      <c r="F99" s="379"/>
      <c r="G99" s="379"/>
      <c r="H99" s="379"/>
      <c r="I99" s="152">
        <v>36264911.310000002</v>
      </c>
    </row>
    <row r="100" spans="1:9" ht="15.6">
      <c r="A100" s="374" t="s">
        <v>757</v>
      </c>
      <c r="B100" s="374"/>
      <c r="C100" s="374"/>
      <c r="D100" s="374"/>
      <c r="E100" s="374"/>
      <c r="F100" s="374"/>
      <c r="G100" s="374"/>
      <c r="H100" s="374"/>
      <c r="I100" s="166">
        <f>I102+I106+I107+I108+I120</f>
        <v>14379828.82</v>
      </c>
    </row>
    <row r="101" spans="1:9" ht="15.6">
      <c r="A101" s="375" t="s">
        <v>749</v>
      </c>
      <c r="B101" s="375"/>
      <c r="C101" s="375"/>
      <c r="D101" s="375"/>
      <c r="E101" s="375"/>
      <c r="F101" s="375"/>
      <c r="G101" s="375"/>
      <c r="H101" s="375"/>
      <c r="I101" s="154"/>
    </row>
    <row r="102" spans="1:9" ht="23.25" customHeight="1">
      <c r="A102" s="376" t="s">
        <v>781</v>
      </c>
      <c r="B102" s="376"/>
      <c r="C102" s="376"/>
      <c r="D102" s="376"/>
      <c r="E102" s="376"/>
      <c r="F102" s="376"/>
      <c r="G102" s="376"/>
      <c r="H102" s="376"/>
      <c r="I102" s="153">
        <f>SUM(I104:I105)</f>
        <v>13390458.810000001</v>
      </c>
    </row>
    <row r="103" spans="1:9" ht="15.6">
      <c r="A103" s="375" t="s">
        <v>313</v>
      </c>
      <c r="B103" s="375"/>
      <c r="C103" s="375"/>
      <c r="D103" s="375"/>
      <c r="E103" s="375"/>
      <c r="F103" s="375"/>
      <c r="G103" s="375"/>
      <c r="H103" s="375"/>
      <c r="I103" s="154"/>
    </row>
    <row r="104" spans="1:9" ht="15.6">
      <c r="A104" s="380" t="s">
        <v>782</v>
      </c>
      <c r="B104" s="381"/>
      <c r="C104" s="381"/>
      <c r="D104" s="381"/>
      <c r="E104" s="381"/>
      <c r="F104" s="381"/>
      <c r="G104" s="381"/>
      <c r="H104" s="382"/>
      <c r="I104" s="219">
        <f>8944762.65+4445696.16</f>
        <v>13390458.810000001</v>
      </c>
    </row>
    <row r="105" spans="1:9" ht="15.6">
      <c r="A105" s="383" t="s">
        <v>783</v>
      </c>
      <c r="B105" s="384"/>
      <c r="C105" s="384"/>
      <c r="D105" s="384"/>
      <c r="E105" s="384"/>
      <c r="F105" s="384"/>
      <c r="G105" s="384"/>
      <c r="H105" s="385"/>
      <c r="I105" s="153"/>
    </row>
    <row r="106" spans="1:9" ht="15.6">
      <c r="A106" s="386" t="s">
        <v>784</v>
      </c>
      <c r="B106" s="387"/>
      <c r="C106" s="387"/>
      <c r="D106" s="387"/>
      <c r="E106" s="387"/>
      <c r="F106" s="387"/>
      <c r="G106" s="387"/>
      <c r="H106" s="388"/>
      <c r="I106" s="153"/>
    </row>
    <row r="107" spans="1:9" ht="15.6">
      <c r="A107" s="383" t="s">
        <v>785</v>
      </c>
      <c r="B107" s="384"/>
      <c r="C107" s="384"/>
      <c r="D107" s="384"/>
      <c r="E107" s="384"/>
      <c r="F107" s="384"/>
      <c r="G107" s="384"/>
      <c r="H107" s="385"/>
      <c r="I107" s="153"/>
    </row>
    <row r="108" spans="1:9" ht="15.6">
      <c r="A108" s="383" t="s">
        <v>786</v>
      </c>
      <c r="B108" s="384"/>
      <c r="C108" s="384"/>
      <c r="D108" s="384"/>
      <c r="E108" s="384"/>
      <c r="F108" s="384"/>
      <c r="G108" s="384"/>
      <c r="H108" s="385"/>
      <c r="I108" s="153"/>
    </row>
    <row r="109" spans="1:9" ht="15.6">
      <c r="A109" s="383" t="s">
        <v>115</v>
      </c>
      <c r="B109" s="384"/>
      <c r="C109" s="384"/>
      <c r="D109" s="384"/>
      <c r="E109" s="384"/>
      <c r="F109" s="384"/>
      <c r="G109" s="384"/>
      <c r="H109" s="385"/>
      <c r="I109" s="153"/>
    </row>
    <row r="110" spans="1:9" ht="15.6">
      <c r="A110" s="375" t="s">
        <v>787</v>
      </c>
      <c r="B110" s="375"/>
      <c r="C110" s="375"/>
      <c r="D110" s="375"/>
      <c r="E110" s="375"/>
      <c r="F110" s="375"/>
      <c r="G110" s="375"/>
      <c r="H110" s="375"/>
      <c r="I110" s="153"/>
    </row>
    <row r="111" spans="1:9" ht="15.6">
      <c r="A111" s="375" t="s">
        <v>788</v>
      </c>
      <c r="B111" s="375"/>
      <c r="C111" s="375"/>
      <c r="D111" s="375"/>
      <c r="E111" s="375"/>
      <c r="F111" s="375"/>
      <c r="G111" s="375"/>
      <c r="H111" s="375"/>
      <c r="I111" s="153"/>
    </row>
    <row r="112" spans="1:9" ht="15.6">
      <c r="A112" s="375" t="s">
        <v>789</v>
      </c>
      <c r="B112" s="375"/>
      <c r="C112" s="375"/>
      <c r="D112" s="375"/>
      <c r="E112" s="375"/>
      <c r="F112" s="375"/>
      <c r="G112" s="375"/>
      <c r="H112" s="375"/>
      <c r="I112" s="153"/>
    </row>
    <row r="113" spans="1:9" ht="15.6">
      <c r="A113" s="375" t="s">
        <v>790</v>
      </c>
      <c r="B113" s="375"/>
      <c r="C113" s="375"/>
      <c r="D113" s="375"/>
      <c r="E113" s="375"/>
      <c r="F113" s="375"/>
      <c r="G113" s="375"/>
      <c r="H113" s="375"/>
      <c r="I113" s="153"/>
    </row>
    <row r="114" spans="1:9" ht="15.6">
      <c r="A114" s="375" t="s">
        <v>791</v>
      </c>
      <c r="B114" s="375"/>
      <c r="C114" s="375"/>
      <c r="D114" s="375"/>
      <c r="E114" s="375"/>
      <c r="F114" s="375"/>
      <c r="G114" s="375"/>
      <c r="H114" s="375"/>
      <c r="I114" s="153"/>
    </row>
    <row r="115" spans="1:9" ht="15.6">
      <c r="A115" s="375" t="s">
        <v>792</v>
      </c>
      <c r="B115" s="375"/>
      <c r="C115" s="375"/>
      <c r="D115" s="375"/>
      <c r="E115" s="375"/>
      <c r="F115" s="375"/>
      <c r="G115" s="375"/>
      <c r="H115" s="375"/>
      <c r="I115" s="153"/>
    </row>
    <row r="116" spans="1:9" ht="15.6">
      <c r="A116" s="375" t="s">
        <v>793</v>
      </c>
      <c r="B116" s="375"/>
      <c r="C116" s="375"/>
      <c r="D116" s="375"/>
      <c r="E116" s="375"/>
      <c r="F116" s="375"/>
      <c r="G116" s="375"/>
      <c r="H116" s="375"/>
      <c r="I116" s="153"/>
    </row>
    <row r="117" spans="1:9" ht="15.6">
      <c r="A117" s="375" t="s">
        <v>794</v>
      </c>
      <c r="B117" s="375"/>
      <c r="C117" s="375"/>
      <c r="D117" s="375"/>
      <c r="E117" s="375"/>
      <c r="F117" s="375"/>
      <c r="G117" s="375"/>
      <c r="H117" s="375"/>
      <c r="I117" s="153"/>
    </row>
    <row r="118" spans="1:9" ht="15.6">
      <c r="A118" s="375" t="s">
        <v>795</v>
      </c>
      <c r="B118" s="375"/>
      <c r="C118" s="375"/>
      <c r="D118" s="375"/>
      <c r="E118" s="375"/>
      <c r="F118" s="375"/>
      <c r="G118" s="375"/>
      <c r="H118" s="375"/>
      <c r="I118" s="154"/>
    </row>
    <row r="119" spans="1:9" ht="15.6">
      <c r="A119" s="375" t="s">
        <v>796</v>
      </c>
      <c r="B119" s="375"/>
      <c r="C119" s="375"/>
      <c r="D119" s="375"/>
      <c r="E119" s="375"/>
      <c r="F119" s="375"/>
      <c r="G119" s="375"/>
      <c r="H119" s="375"/>
      <c r="I119" s="154"/>
    </row>
    <row r="120" spans="1:9" ht="34.049999999999997" customHeight="1">
      <c r="A120" s="389" t="s">
        <v>797</v>
      </c>
      <c r="B120" s="390"/>
      <c r="C120" s="390"/>
      <c r="D120" s="390"/>
      <c r="E120" s="390"/>
      <c r="F120" s="390"/>
      <c r="G120" s="390"/>
      <c r="H120" s="391"/>
      <c r="I120" s="153">
        <v>989370.01</v>
      </c>
    </row>
    <row r="121" spans="1:9" ht="15.6">
      <c r="A121" s="375" t="s">
        <v>313</v>
      </c>
      <c r="B121" s="375"/>
      <c r="C121" s="375"/>
      <c r="D121" s="375"/>
      <c r="E121" s="375"/>
      <c r="F121" s="375"/>
      <c r="G121" s="375"/>
      <c r="H121" s="375"/>
      <c r="I121" s="154"/>
    </row>
    <row r="122" spans="1:9" ht="15.6">
      <c r="A122" s="375" t="s">
        <v>798</v>
      </c>
      <c r="B122" s="375"/>
      <c r="C122" s="375"/>
      <c r="D122" s="375"/>
      <c r="E122" s="375"/>
      <c r="F122" s="375"/>
      <c r="G122" s="375"/>
      <c r="H122" s="375"/>
      <c r="I122" s="153"/>
    </row>
    <row r="123" spans="1:9" ht="15.6">
      <c r="A123" s="375" t="s">
        <v>799</v>
      </c>
      <c r="B123" s="375"/>
      <c r="C123" s="375"/>
      <c r="D123" s="375"/>
      <c r="E123" s="375"/>
      <c r="F123" s="375"/>
      <c r="G123" s="375"/>
      <c r="H123" s="375"/>
      <c r="I123" s="154"/>
    </row>
    <row r="124" spans="1:9" ht="15.6">
      <c r="A124" s="375" t="s">
        <v>800</v>
      </c>
      <c r="B124" s="375"/>
      <c r="C124" s="375"/>
      <c r="D124" s="375"/>
      <c r="E124" s="375"/>
      <c r="F124" s="375"/>
      <c r="G124" s="375"/>
      <c r="H124" s="375"/>
      <c r="I124" s="153">
        <v>989370.01</v>
      </c>
    </row>
    <row r="125" spans="1:9" ht="15.6">
      <c r="A125" s="375" t="s">
        <v>801</v>
      </c>
      <c r="B125" s="375"/>
      <c r="C125" s="375"/>
      <c r="D125" s="375"/>
      <c r="E125" s="375"/>
      <c r="F125" s="375"/>
      <c r="G125" s="375"/>
      <c r="H125" s="375"/>
      <c r="I125" s="154"/>
    </row>
    <row r="126" spans="1:9" ht="15.6">
      <c r="A126" s="375" t="s">
        <v>802</v>
      </c>
      <c r="B126" s="375"/>
      <c r="C126" s="375"/>
      <c r="D126" s="375"/>
      <c r="E126" s="375"/>
      <c r="F126" s="375"/>
      <c r="G126" s="375"/>
      <c r="H126" s="375"/>
      <c r="I126" s="154"/>
    </row>
    <row r="127" spans="1:9" ht="15.6">
      <c r="A127" s="375" t="s">
        <v>803</v>
      </c>
      <c r="B127" s="375"/>
      <c r="C127" s="375"/>
      <c r="D127" s="375"/>
      <c r="E127" s="375"/>
      <c r="F127" s="375"/>
      <c r="G127" s="375"/>
      <c r="H127" s="375"/>
      <c r="I127" s="154"/>
    </row>
    <row r="128" spans="1:9" ht="15.6">
      <c r="A128" s="375" t="s">
        <v>804</v>
      </c>
      <c r="B128" s="375"/>
      <c r="C128" s="375"/>
      <c r="D128" s="375"/>
      <c r="E128" s="375"/>
      <c r="F128" s="375"/>
      <c r="G128" s="375"/>
      <c r="H128" s="375"/>
      <c r="I128" s="154"/>
    </row>
    <row r="129" spans="1:9" ht="15.6">
      <c r="A129" s="375" t="s">
        <v>805</v>
      </c>
      <c r="B129" s="375"/>
      <c r="C129" s="375"/>
      <c r="D129" s="375"/>
      <c r="E129" s="375"/>
      <c r="F129" s="375"/>
      <c r="G129" s="375"/>
      <c r="H129" s="375"/>
      <c r="I129" s="154"/>
    </row>
    <row r="130" spans="1:9" ht="15.6">
      <c r="A130" s="375" t="s">
        <v>806</v>
      </c>
      <c r="B130" s="375"/>
      <c r="C130" s="375"/>
      <c r="D130" s="375"/>
      <c r="E130" s="375"/>
      <c r="F130" s="375"/>
      <c r="G130" s="375"/>
      <c r="H130" s="375"/>
      <c r="I130" s="153"/>
    </row>
    <row r="131" spans="1:9" ht="15.6">
      <c r="A131" s="375" t="s">
        <v>807</v>
      </c>
      <c r="B131" s="375"/>
      <c r="C131" s="375"/>
      <c r="D131" s="375"/>
      <c r="E131" s="375"/>
      <c r="F131" s="375"/>
      <c r="G131" s="375"/>
      <c r="H131" s="375"/>
      <c r="I131" s="154"/>
    </row>
    <row r="132" spans="1:9" ht="15.6">
      <c r="A132" s="374" t="s">
        <v>758</v>
      </c>
      <c r="B132" s="374"/>
      <c r="C132" s="374"/>
      <c r="D132" s="374"/>
      <c r="E132" s="374"/>
      <c r="F132" s="374"/>
      <c r="G132" s="374"/>
      <c r="H132" s="374"/>
      <c r="I132" s="167">
        <f>I134+I135+I136+I151</f>
        <v>7805334.2699999996</v>
      </c>
    </row>
    <row r="133" spans="1:9" ht="15.6">
      <c r="A133" s="375" t="s">
        <v>749</v>
      </c>
      <c r="B133" s="375"/>
      <c r="C133" s="375"/>
      <c r="D133" s="375"/>
      <c r="E133" s="375"/>
      <c r="F133" s="375"/>
      <c r="G133" s="375"/>
      <c r="H133" s="375"/>
      <c r="I133" s="154"/>
    </row>
    <row r="134" spans="1:9" ht="15.6">
      <c r="A134" s="375" t="s">
        <v>808</v>
      </c>
      <c r="B134" s="375"/>
      <c r="C134" s="375"/>
      <c r="D134" s="375"/>
      <c r="E134" s="375"/>
      <c r="F134" s="375"/>
      <c r="G134" s="375"/>
      <c r="H134" s="375"/>
      <c r="I134" s="152"/>
    </row>
    <row r="135" spans="1:9" ht="19.5" customHeight="1">
      <c r="A135" s="389" t="s">
        <v>809</v>
      </c>
      <c r="B135" s="390"/>
      <c r="C135" s="390"/>
      <c r="D135" s="390"/>
      <c r="E135" s="390"/>
      <c r="F135" s="390"/>
      <c r="G135" s="390"/>
      <c r="H135" s="391"/>
      <c r="I135" s="153"/>
    </row>
    <row r="136" spans="1:9" ht="30.9" customHeight="1">
      <c r="A136" s="383" t="s">
        <v>810</v>
      </c>
      <c r="B136" s="384"/>
      <c r="C136" s="384"/>
      <c r="D136" s="384"/>
      <c r="E136" s="384"/>
      <c r="F136" s="384"/>
      <c r="G136" s="384"/>
      <c r="H136" s="385"/>
      <c r="I136" s="153">
        <v>0</v>
      </c>
    </row>
    <row r="137" spans="1:9" ht="15.6">
      <c r="A137" s="376" t="s">
        <v>313</v>
      </c>
      <c r="B137" s="376"/>
      <c r="C137" s="376"/>
      <c r="D137" s="376"/>
      <c r="E137" s="376"/>
      <c r="F137" s="376"/>
      <c r="G137" s="376"/>
      <c r="H137" s="376"/>
      <c r="I137" s="153"/>
    </row>
    <row r="138" spans="1:9" ht="15.6">
      <c r="A138" s="375" t="s">
        <v>759</v>
      </c>
      <c r="B138" s="375"/>
      <c r="C138" s="375"/>
      <c r="D138" s="375"/>
      <c r="E138" s="375"/>
      <c r="F138" s="375"/>
      <c r="G138" s="375"/>
      <c r="H138" s="375"/>
      <c r="I138" s="153"/>
    </row>
    <row r="139" spans="1:9" ht="15.6">
      <c r="A139" s="375" t="s">
        <v>760</v>
      </c>
      <c r="B139" s="375"/>
      <c r="C139" s="375"/>
      <c r="D139" s="375"/>
      <c r="E139" s="375"/>
      <c r="F139" s="375"/>
      <c r="G139" s="375"/>
      <c r="H139" s="375"/>
      <c r="I139" s="153"/>
    </row>
    <row r="140" spans="1:9" ht="15.6">
      <c r="A140" s="375" t="s">
        <v>761</v>
      </c>
      <c r="B140" s="375"/>
      <c r="C140" s="375"/>
      <c r="D140" s="375"/>
      <c r="E140" s="375"/>
      <c r="F140" s="375"/>
      <c r="G140" s="375"/>
      <c r="H140" s="375"/>
      <c r="I140" s="153"/>
    </row>
    <row r="141" spans="1:9" ht="15.6">
      <c r="A141" s="375" t="s">
        <v>762</v>
      </c>
      <c r="B141" s="375"/>
      <c r="C141" s="375"/>
      <c r="D141" s="375"/>
      <c r="E141" s="375"/>
      <c r="F141" s="375"/>
      <c r="G141" s="375"/>
      <c r="H141" s="375"/>
      <c r="I141" s="153"/>
    </row>
    <row r="142" spans="1:9" ht="15.6">
      <c r="A142" s="375" t="s">
        <v>763</v>
      </c>
      <c r="B142" s="375"/>
      <c r="C142" s="375"/>
      <c r="D142" s="375"/>
      <c r="E142" s="375"/>
      <c r="F142" s="375"/>
      <c r="G142" s="375"/>
      <c r="H142" s="375"/>
      <c r="I142" s="153"/>
    </row>
    <row r="143" spans="1:9" ht="15.6">
      <c r="A143" s="375" t="s">
        <v>764</v>
      </c>
      <c r="B143" s="375"/>
      <c r="C143" s="375"/>
      <c r="D143" s="375"/>
      <c r="E143" s="375"/>
      <c r="F143" s="375"/>
      <c r="G143" s="375"/>
      <c r="H143" s="375"/>
      <c r="I143" s="153"/>
    </row>
    <row r="144" spans="1:9" ht="15.6">
      <c r="A144" s="375" t="s">
        <v>765</v>
      </c>
      <c r="B144" s="375"/>
      <c r="C144" s="375"/>
      <c r="D144" s="375"/>
      <c r="E144" s="375"/>
      <c r="F144" s="375"/>
      <c r="G144" s="375"/>
      <c r="H144" s="375"/>
      <c r="I144" s="153"/>
    </row>
    <row r="145" spans="1:9" ht="15.6">
      <c r="A145" s="375" t="s">
        <v>766</v>
      </c>
      <c r="B145" s="375"/>
      <c r="C145" s="375"/>
      <c r="D145" s="375"/>
      <c r="E145" s="375"/>
      <c r="F145" s="375"/>
      <c r="G145" s="375"/>
      <c r="H145" s="375"/>
      <c r="I145" s="153"/>
    </row>
    <row r="146" spans="1:9" ht="15.6">
      <c r="A146" s="375" t="s">
        <v>767</v>
      </c>
      <c r="B146" s="375"/>
      <c r="C146" s="375"/>
      <c r="D146" s="375"/>
      <c r="E146" s="375"/>
      <c r="F146" s="375"/>
      <c r="G146" s="375"/>
      <c r="H146" s="375"/>
      <c r="I146" s="153"/>
    </row>
    <row r="147" spans="1:9" ht="15.6">
      <c r="A147" s="375" t="s">
        <v>768</v>
      </c>
      <c r="B147" s="375"/>
      <c r="C147" s="375"/>
      <c r="D147" s="375"/>
      <c r="E147" s="375"/>
      <c r="F147" s="375"/>
      <c r="G147" s="375"/>
      <c r="H147" s="375"/>
      <c r="I147" s="153"/>
    </row>
    <row r="148" spans="1:9" ht="15.6">
      <c r="A148" s="375" t="s">
        <v>769</v>
      </c>
      <c r="B148" s="375"/>
      <c r="C148" s="375"/>
      <c r="D148" s="375"/>
      <c r="E148" s="375"/>
      <c r="F148" s="375"/>
      <c r="G148" s="375"/>
      <c r="H148" s="375"/>
      <c r="I148" s="153"/>
    </row>
    <row r="149" spans="1:9" ht="15.6">
      <c r="A149" s="375" t="s">
        <v>770</v>
      </c>
      <c r="B149" s="375"/>
      <c r="C149" s="375"/>
      <c r="D149" s="375"/>
      <c r="E149" s="375"/>
      <c r="F149" s="375"/>
      <c r="G149" s="375"/>
      <c r="H149" s="375"/>
      <c r="I149" s="153"/>
    </row>
    <row r="150" spans="1:9" ht="15.6">
      <c r="A150" s="375" t="s">
        <v>771</v>
      </c>
      <c r="B150" s="375"/>
      <c r="C150" s="375"/>
      <c r="D150" s="375"/>
      <c r="E150" s="375"/>
      <c r="F150" s="375"/>
      <c r="G150" s="375"/>
      <c r="H150" s="375"/>
      <c r="I150" s="153"/>
    </row>
    <row r="151" spans="1:9" ht="37.5" customHeight="1">
      <c r="A151" s="389" t="s">
        <v>811</v>
      </c>
      <c r="B151" s="390"/>
      <c r="C151" s="390"/>
      <c r="D151" s="390"/>
      <c r="E151" s="390"/>
      <c r="F151" s="390"/>
      <c r="G151" s="390"/>
      <c r="H151" s="391"/>
      <c r="I151" s="153">
        <f>SUM(I152:I165)</f>
        <v>7805334.2699999996</v>
      </c>
    </row>
    <row r="152" spans="1:9" ht="15.6">
      <c r="A152" s="375" t="s">
        <v>313</v>
      </c>
      <c r="B152" s="375"/>
      <c r="C152" s="375"/>
      <c r="D152" s="375"/>
      <c r="E152" s="375"/>
      <c r="F152" s="375"/>
      <c r="G152" s="375"/>
      <c r="H152" s="375"/>
      <c r="I152" s="153"/>
    </row>
    <row r="153" spans="1:9" ht="15.6">
      <c r="A153" s="375" t="s">
        <v>812</v>
      </c>
      <c r="B153" s="375"/>
      <c r="C153" s="375"/>
      <c r="D153" s="375"/>
      <c r="E153" s="375"/>
      <c r="F153" s="375"/>
      <c r="G153" s="375"/>
      <c r="H153" s="375"/>
      <c r="I153" s="153"/>
    </row>
    <row r="154" spans="1:9" ht="15.6">
      <c r="A154" s="375" t="s">
        <v>813</v>
      </c>
      <c r="B154" s="375"/>
      <c r="C154" s="375"/>
      <c r="D154" s="375"/>
      <c r="E154" s="375"/>
      <c r="F154" s="375"/>
      <c r="G154" s="375"/>
      <c r="H154" s="375"/>
      <c r="I154" s="153"/>
    </row>
    <row r="155" spans="1:9" ht="15.6">
      <c r="A155" s="375" t="s">
        <v>814</v>
      </c>
      <c r="B155" s="375"/>
      <c r="C155" s="375"/>
      <c r="D155" s="375"/>
      <c r="E155" s="375"/>
      <c r="F155" s="375"/>
      <c r="G155" s="375"/>
      <c r="H155" s="375"/>
      <c r="I155" s="153"/>
    </row>
    <row r="156" spans="1:9" ht="15.6">
      <c r="A156" s="375" t="s">
        <v>815</v>
      </c>
      <c r="B156" s="375"/>
      <c r="C156" s="375"/>
      <c r="D156" s="375"/>
      <c r="E156" s="375"/>
      <c r="F156" s="375"/>
      <c r="G156" s="375"/>
      <c r="H156" s="375"/>
      <c r="I156" s="153"/>
    </row>
    <row r="157" spans="1:9" ht="15.6">
      <c r="A157" s="375" t="s">
        <v>816</v>
      </c>
      <c r="B157" s="375"/>
      <c r="C157" s="375"/>
      <c r="D157" s="375"/>
      <c r="E157" s="375"/>
      <c r="F157" s="375"/>
      <c r="G157" s="375"/>
      <c r="H157" s="375"/>
      <c r="I157" s="153"/>
    </row>
    <row r="158" spans="1:9" ht="15.6">
      <c r="A158" s="375" t="s">
        <v>817</v>
      </c>
      <c r="B158" s="375"/>
      <c r="C158" s="375"/>
      <c r="D158" s="375"/>
      <c r="E158" s="375"/>
      <c r="F158" s="375"/>
      <c r="G158" s="375"/>
      <c r="H158" s="375"/>
      <c r="I158" s="153"/>
    </row>
    <row r="159" spans="1:9" ht="15.6">
      <c r="A159" s="375" t="s">
        <v>818</v>
      </c>
      <c r="B159" s="375"/>
      <c r="C159" s="375"/>
      <c r="D159" s="375"/>
      <c r="E159" s="375"/>
      <c r="F159" s="375"/>
      <c r="G159" s="375"/>
      <c r="H159" s="375"/>
      <c r="I159" s="153"/>
    </row>
    <row r="160" spans="1:9" ht="15.6">
      <c r="A160" s="375" t="s">
        <v>819</v>
      </c>
      <c r="B160" s="375"/>
      <c r="C160" s="375"/>
      <c r="D160" s="375"/>
      <c r="E160" s="375"/>
      <c r="F160" s="375"/>
      <c r="G160" s="375"/>
      <c r="H160" s="375"/>
      <c r="I160" s="153"/>
    </row>
    <row r="161" spans="1:9" ht="15.6">
      <c r="A161" s="375" t="s">
        <v>820</v>
      </c>
      <c r="B161" s="375"/>
      <c r="C161" s="375"/>
      <c r="D161" s="375"/>
      <c r="E161" s="375"/>
      <c r="F161" s="375"/>
      <c r="G161" s="375"/>
      <c r="H161" s="375"/>
      <c r="I161" s="153"/>
    </row>
    <row r="162" spans="1:9" ht="15.6">
      <c r="A162" s="375" t="s">
        <v>821</v>
      </c>
      <c r="B162" s="375"/>
      <c r="C162" s="375"/>
      <c r="D162" s="375"/>
      <c r="E162" s="375"/>
      <c r="F162" s="375"/>
      <c r="G162" s="375"/>
      <c r="H162" s="375"/>
      <c r="I162" s="153">
        <v>6685334.2699999996</v>
      </c>
    </row>
    <row r="163" spans="1:9" ht="15.6">
      <c r="A163" s="375" t="s">
        <v>822</v>
      </c>
      <c r="B163" s="375"/>
      <c r="C163" s="375"/>
      <c r="D163" s="375"/>
      <c r="E163" s="375"/>
      <c r="F163" s="375"/>
      <c r="G163" s="375"/>
      <c r="H163" s="375"/>
      <c r="I163" s="153"/>
    </row>
    <row r="164" spans="1:9" ht="15.6">
      <c r="A164" s="375" t="s">
        <v>823</v>
      </c>
      <c r="B164" s="375"/>
      <c r="C164" s="375"/>
      <c r="D164" s="375"/>
      <c r="E164" s="375"/>
      <c r="F164" s="375"/>
      <c r="G164" s="375"/>
      <c r="H164" s="375"/>
      <c r="I164" s="153"/>
    </row>
    <row r="165" spans="1:9" ht="15.6">
      <c r="A165" s="375" t="s">
        <v>824</v>
      </c>
      <c r="B165" s="375"/>
      <c r="C165" s="375"/>
      <c r="D165" s="375"/>
      <c r="E165" s="375"/>
      <c r="F165" s="375"/>
      <c r="G165" s="375"/>
      <c r="H165" s="375"/>
      <c r="I165" s="153">
        <v>1120000</v>
      </c>
    </row>
    <row r="166" spans="1:9" ht="15.6">
      <c r="A166" s="150"/>
      <c r="B166" s="150"/>
      <c r="C166" s="150"/>
      <c r="D166" s="150"/>
      <c r="E166" s="150"/>
      <c r="F166" s="150"/>
      <c r="G166" s="150"/>
      <c r="H166" s="150"/>
      <c r="I166" s="151"/>
    </row>
    <row r="167" spans="1:9" ht="15.6">
      <c r="A167" s="150"/>
      <c r="B167" s="150"/>
      <c r="C167" s="150"/>
      <c r="D167" s="150"/>
      <c r="E167" s="150"/>
      <c r="F167" s="150"/>
      <c r="G167" s="150"/>
      <c r="H167" s="150"/>
      <c r="I167" s="151"/>
    </row>
  </sheetData>
  <mergeCells count="138">
    <mergeCell ref="A163:H163"/>
    <mergeCell ref="A164:H164"/>
    <mergeCell ref="A165:H165"/>
    <mergeCell ref="A157:H157"/>
    <mergeCell ref="A158:H158"/>
    <mergeCell ref="A159:H159"/>
    <mergeCell ref="A160:H160"/>
    <mergeCell ref="A161:H161"/>
    <mergeCell ref="A162:H162"/>
    <mergeCell ref="A151:H151"/>
    <mergeCell ref="A152:H152"/>
    <mergeCell ref="A153:H153"/>
    <mergeCell ref="A154:H154"/>
    <mergeCell ref="A155:H155"/>
    <mergeCell ref="A156:H156"/>
    <mergeCell ref="A145:H145"/>
    <mergeCell ref="A146:H146"/>
    <mergeCell ref="A147:H147"/>
    <mergeCell ref="A148:H148"/>
    <mergeCell ref="A149:H149"/>
    <mergeCell ref="A150:H150"/>
    <mergeCell ref="A139:H139"/>
    <mergeCell ref="A140:H140"/>
    <mergeCell ref="A141:H141"/>
    <mergeCell ref="A142:H142"/>
    <mergeCell ref="A143:H143"/>
    <mergeCell ref="A144:H144"/>
    <mergeCell ref="A132:H132"/>
    <mergeCell ref="A133:H133"/>
    <mergeCell ref="A134:H134"/>
    <mergeCell ref="A135:H135"/>
    <mergeCell ref="A137:H137"/>
    <mergeCell ref="A138:H138"/>
    <mergeCell ref="A136:H136"/>
    <mergeCell ref="A126:H126"/>
    <mergeCell ref="A127:H127"/>
    <mergeCell ref="A128:H128"/>
    <mergeCell ref="A129:H129"/>
    <mergeCell ref="A130:H130"/>
    <mergeCell ref="A131:H131"/>
    <mergeCell ref="A120:H120"/>
    <mergeCell ref="A121:H121"/>
    <mergeCell ref="A122:H122"/>
    <mergeCell ref="A123:H123"/>
    <mergeCell ref="A124:H124"/>
    <mergeCell ref="A125:H125"/>
    <mergeCell ref="A114:H114"/>
    <mergeCell ref="A115:H115"/>
    <mergeCell ref="A116:H116"/>
    <mergeCell ref="A117:H117"/>
    <mergeCell ref="A118:H118"/>
    <mergeCell ref="A119:H119"/>
    <mergeCell ref="A103:H103"/>
    <mergeCell ref="A110:H110"/>
    <mergeCell ref="A111:H111"/>
    <mergeCell ref="A112:H112"/>
    <mergeCell ref="A113:H113"/>
    <mergeCell ref="A104:H104"/>
    <mergeCell ref="A105:H105"/>
    <mergeCell ref="A106:H106"/>
    <mergeCell ref="A107:H107"/>
    <mergeCell ref="A108:H108"/>
    <mergeCell ref="A109:H109"/>
    <mergeCell ref="A97:H97"/>
    <mergeCell ref="A98:H98"/>
    <mergeCell ref="A99:H99"/>
    <mergeCell ref="A100:H100"/>
    <mergeCell ref="A101:H101"/>
    <mergeCell ref="A102:H102"/>
    <mergeCell ref="A91:H91"/>
    <mergeCell ref="A92:H92"/>
    <mergeCell ref="A93:H93"/>
    <mergeCell ref="A94:H94"/>
    <mergeCell ref="A95:H95"/>
    <mergeCell ref="A96:H96"/>
    <mergeCell ref="A81:I81"/>
    <mergeCell ref="A83:I83"/>
    <mergeCell ref="A87:H87"/>
    <mergeCell ref="A88:H88"/>
    <mergeCell ref="A89:H89"/>
    <mergeCell ref="A90:H90"/>
    <mergeCell ref="A73:I73"/>
    <mergeCell ref="A74:I74"/>
    <mergeCell ref="A75:I75"/>
    <mergeCell ref="A76:I76"/>
    <mergeCell ref="A78:I78"/>
    <mergeCell ref="A80:I80"/>
    <mergeCell ref="D84:G84"/>
    <mergeCell ref="D85:G85"/>
    <mergeCell ref="A67:I67"/>
    <mergeCell ref="A68:I68"/>
    <mergeCell ref="A69:I69"/>
    <mergeCell ref="A70:I70"/>
    <mergeCell ref="A71:I71"/>
    <mergeCell ref="A72:I72"/>
    <mergeCell ref="A61:I61"/>
    <mergeCell ref="A62:I62"/>
    <mergeCell ref="A63:I63"/>
    <mergeCell ref="A64:I64"/>
    <mergeCell ref="A65:I65"/>
    <mergeCell ref="A66:I66"/>
    <mergeCell ref="A56:I56"/>
    <mergeCell ref="A57:I57"/>
    <mergeCell ref="A58:I58"/>
    <mergeCell ref="A59:I59"/>
    <mergeCell ref="A60:I60"/>
    <mergeCell ref="A37:I37"/>
    <mergeCell ref="A38:I38"/>
    <mergeCell ref="A39:I39"/>
    <mergeCell ref="A40:I40"/>
    <mergeCell ref="A41:I41"/>
    <mergeCell ref="A31:I31"/>
    <mergeCell ref="A32:I32"/>
    <mergeCell ref="A33:I33"/>
    <mergeCell ref="A34:I34"/>
    <mergeCell ref="A35:I35"/>
    <mergeCell ref="A36:I36"/>
    <mergeCell ref="A23:B23"/>
    <mergeCell ref="A24:B24"/>
    <mergeCell ref="A25:H25"/>
    <mergeCell ref="A29:G29"/>
    <mergeCell ref="A30:I30"/>
    <mergeCell ref="A27:G27"/>
    <mergeCell ref="A11:I11"/>
    <mergeCell ref="A12:I12"/>
    <mergeCell ref="A13:I13"/>
    <mergeCell ref="A18:G18"/>
    <mergeCell ref="A21:H21"/>
    <mergeCell ref="I21:I22"/>
    <mergeCell ref="A22:G22"/>
    <mergeCell ref="A3:I3"/>
    <mergeCell ref="A4:I4"/>
    <mergeCell ref="A5:I5"/>
    <mergeCell ref="A6:I6"/>
    <mergeCell ref="A7:I7"/>
    <mergeCell ref="A8:I8"/>
    <mergeCell ref="C15:H15"/>
    <mergeCell ref="C14:H14"/>
  </mergeCells>
  <hyperlinks>
    <hyperlink ref="H29" r:id="rId1" display="consultantplus://offline/main?base=LAW;n=53610;fld=134;dst=100283"/>
  </hyperlinks>
  <pageMargins left="0.59055118110236227" right="0" top="0.39370078740157483" bottom="0.39370078740157483" header="0" footer="0"/>
  <pageSetup paperSize="9" scale="85" orientation="portrait" r:id="rId2"/>
</worksheet>
</file>

<file path=xl/worksheets/sheet12.xml><?xml version="1.0" encoding="utf-8"?>
<worksheet xmlns="http://schemas.openxmlformats.org/spreadsheetml/2006/main" xmlns:r="http://schemas.openxmlformats.org/officeDocument/2006/relationships">
  <dimension ref="A1:C518"/>
  <sheetViews>
    <sheetView topLeftCell="A13" workbookViewId="0">
      <selection activeCell="B519" sqref="B519"/>
    </sheetView>
  </sheetViews>
  <sheetFormatPr defaultRowHeight="14.4"/>
  <cols>
    <col min="1" max="1" width="12.5546875" style="133" customWidth="1"/>
    <col min="2" max="2" width="79.44140625" style="134" customWidth="1"/>
  </cols>
  <sheetData>
    <row r="1" spans="1:2">
      <c r="A1" s="392" t="s">
        <v>342</v>
      </c>
      <c r="B1" s="392"/>
    </row>
    <row r="2" spans="1:2" ht="17.399999999999999">
      <c r="A2" s="393" t="s">
        <v>343</v>
      </c>
      <c r="B2" s="393"/>
    </row>
    <row r="3" spans="1:2" ht="39.9" customHeight="1" thickBot="1">
      <c r="A3" s="394" t="s">
        <v>344</v>
      </c>
      <c r="B3" s="394"/>
    </row>
    <row r="4" spans="1:2" ht="24" customHeight="1">
      <c r="A4" s="258" t="s">
        <v>2</v>
      </c>
      <c r="B4" s="259" t="s">
        <v>906</v>
      </c>
    </row>
    <row r="5" spans="1:2">
      <c r="A5" s="260"/>
      <c r="B5" s="261" t="s">
        <v>907</v>
      </c>
    </row>
    <row r="6" spans="1:2" ht="18" customHeight="1">
      <c r="A6" s="262" t="s">
        <v>908</v>
      </c>
      <c r="B6" s="263" t="s">
        <v>345</v>
      </c>
    </row>
    <row r="7" spans="1:2" ht="18" customHeight="1">
      <c r="A7" s="262" t="s">
        <v>9</v>
      </c>
      <c r="B7" s="263" t="s">
        <v>346</v>
      </c>
    </row>
    <row r="8" spans="1:2" ht="18" customHeight="1">
      <c r="A8" s="262" t="s">
        <v>10</v>
      </c>
      <c r="B8" s="263" t="s">
        <v>347</v>
      </c>
    </row>
    <row r="9" spans="1:2" ht="18" customHeight="1">
      <c r="A9" s="262" t="s">
        <v>60</v>
      </c>
      <c r="B9" s="263" t="s">
        <v>348</v>
      </c>
    </row>
    <row r="10" spans="1:2" ht="18" customHeight="1">
      <c r="A10" s="262" t="s">
        <v>61</v>
      </c>
      <c r="B10" s="263" t="s">
        <v>909</v>
      </c>
    </row>
    <row r="11" spans="1:2" ht="18" customHeight="1">
      <c r="A11" s="262" t="s">
        <v>67</v>
      </c>
      <c r="B11" s="263" t="s">
        <v>349</v>
      </c>
    </row>
    <row r="12" spans="1:2" ht="18" customHeight="1">
      <c r="A12" s="262" t="s">
        <v>68</v>
      </c>
      <c r="B12" s="263" t="s">
        <v>350</v>
      </c>
    </row>
    <row r="13" spans="1:2" ht="18" customHeight="1">
      <c r="A13" s="262" t="s">
        <v>69</v>
      </c>
      <c r="B13" s="263" t="s">
        <v>351</v>
      </c>
    </row>
    <row r="14" spans="1:2" ht="18" customHeight="1">
      <c r="A14" s="262" t="s">
        <v>910</v>
      </c>
      <c r="B14" s="263" t="s">
        <v>352</v>
      </c>
    </row>
    <row r="15" spans="1:2" ht="18" customHeight="1">
      <c r="A15" s="262" t="s">
        <v>911</v>
      </c>
      <c r="B15" s="263" t="s">
        <v>353</v>
      </c>
    </row>
    <row r="16" spans="1:2" ht="18" customHeight="1">
      <c r="A16" s="262" t="s">
        <v>912</v>
      </c>
      <c r="B16" s="263" t="s">
        <v>354</v>
      </c>
    </row>
    <row r="17" spans="1:2" ht="18" customHeight="1">
      <c r="A17" s="262" t="s">
        <v>913</v>
      </c>
      <c r="B17" s="263" t="s">
        <v>914</v>
      </c>
    </row>
    <row r="18" spans="1:2" ht="18" customHeight="1">
      <c r="A18" s="262" t="s">
        <v>915</v>
      </c>
      <c r="B18" s="263" t="s">
        <v>916</v>
      </c>
    </row>
    <row r="19" spans="1:2" ht="18" customHeight="1">
      <c r="A19" s="262" t="s">
        <v>917</v>
      </c>
      <c r="B19" s="263" t="s">
        <v>918</v>
      </c>
    </row>
    <row r="20" spans="1:2" ht="18" customHeight="1">
      <c r="A20" s="262" t="s">
        <v>919</v>
      </c>
      <c r="B20" s="264" t="s">
        <v>355</v>
      </c>
    </row>
    <row r="21" spans="1:2" ht="18" customHeight="1">
      <c r="A21" s="262" t="s">
        <v>920</v>
      </c>
      <c r="B21" s="263" t="s">
        <v>356</v>
      </c>
    </row>
    <row r="22" spans="1:2" ht="18" customHeight="1">
      <c r="A22" s="262" t="s">
        <v>921</v>
      </c>
      <c r="B22" s="263" t="s">
        <v>357</v>
      </c>
    </row>
    <row r="23" spans="1:2" ht="18" customHeight="1">
      <c r="A23" s="262" t="s">
        <v>922</v>
      </c>
      <c r="B23" s="263" t="s">
        <v>358</v>
      </c>
    </row>
    <row r="24" spans="1:2" ht="18" customHeight="1">
      <c r="A24" s="262" t="s">
        <v>923</v>
      </c>
      <c r="B24" s="263" t="s">
        <v>359</v>
      </c>
    </row>
    <row r="25" spans="1:2" ht="18" customHeight="1">
      <c r="A25" s="262" t="s">
        <v>924</v>
      </c>
      <c r="B25" s="263" t="s">
        <v>360</v>
      </c>
    </row>
    <row r="26" spans="1:2" ht="18" customHeight="1">
      <c r="A26" s="262" t="s">
        <v>925</v>
      </c>
      <c r="B26" s="264" t="s">
        <v>361</v>
      </c>
    </row>
    <row r="27" spans="1:2" ht="18" customHeight="1">
      <c r="A27" s="262" t="s">
        <v>926</v>
      </c>
      <c r="B27" s="263" t="s">
        <v>362</v>
      </c>
    </row>
    <row r="28" spans="1:2" ht="18" customHeight="1">
      <c r="A28" s="262" t="s">
        <v>927</v>
      </c>
      <c r="B28" s="263" t="s">
        <v>363</v>
      </c>
    </row>
    <row r="29" spans="1:2" ht="18" customHeight="1">
      <c r="A29" s="262" t="s">
        <v>928</v>
      </c>
      <c r="B29" s="263" t="s">
        <v>364</v>
      </c>
    </row>
    <row r="30" spans="1:2" ht="18" customHeight="1">
      <c r="A30" s="262" t="s">
        <v>929</v>
      </c>
      <c r="B30" s="263" t="s">
        <v>365</v>
      </c>
    </row>
    <row r="31" spans="1:2" ht="18" customHeight="1">
      <c r="A31" s="262" t="s">
        <v>930</v>
      </c>
      <c r="B31" s="263" t="s">
        <v>366</v>
      </c>
    </row>
    <row r="32" spans="1:2" ht="18" customHeight="1">
      <c r="A32" s="262" t="s">
        <v>931</v>
      </c>
      <c r="B32" s="263" t="s">
        <v>367</v>
      </c>
    </row>
    <row r="33" spans="1:2" ht="18" customHeight="1">
      <c r="A33" s="262" t="s">
        <v>932</v>
      </c>
      <c r="B33" s="263" t="s">
        <v>368</v>
      </c>
    </row>
    <row r="34" spans="1:2" ht="18" customHeight="1">
      <c r="A34" s="262" t="s">
        <v>933</v>
      </c>
      <c r="B34" s="263" t="s">
        <v>369</v>
      </c>
    </row>
    <row r="35" spans="1:2" ht="18" customHeight="1">
      <c r="A35" s="262" t="s">
        <v>934</v>
      </c>
      <c r="B35" s="263" t="s">
        <v>370</v>
      </c>
    </row>
    <row r="36" spans="1:2" ht="18" customHeight="1">
      <c r="A36" s="262" t="s">
        <v>935</v>
      </c>
      <c r="B36" s="264" t="s">
        <v>371</v>
      </c>
    </row>
    <row r="37" spans="1:2" ht="18" customHeight="1">
      <c r="A37" s="262" t="s">
        <v>936</v>
      </c>
      <c r="B37" s="263" t="s">
        <v>372</v>
      </c>
    </row>
    <row r="38" spans="1:2" ht="18" customHeight="1">
      <c r="A38" s="262" t="s">
        <v>937</v>
      </c>
      <c r="B38" s="263" t="s">
        <v>373</v>
      </c>
    </row>
    <row r="39" spans="1:2" ht="18" customHeight="1">
      <c r="A39" s="262" t="s">
        <v>938</v>
      </c>
      <c r="B39" s="263" t="s">
        <v>374</v>
      </c>
    </row>
    <row r="40" spans="1:2" ht="18" customHeight="1">
      <c r="A40" s="262" t="s">
        <v>939</v>
      </c>
      <c r="B40" s="263" t="s">
        <v>375</v>
      </c>
    </row>
    <row r="41" spans="1:2" ht="18" customHeight="1">
      <c r="A41" s="262" t="s">
        <v>940</v>
      </c>
      <c r="B41" s="263" t="s">
        <v>376</v>
      </c>
    </row>
    <row r="42" spans="1:2" ht="18" customHeight="1">
      <c r="A42" s="262" t="s">
        <v>941</v>
      </c>
      <c r="B42" s="263" t="s">
        <v>377</v>
      </c>
    </row>
    <row r="43" spans="1:2" ht="18" customHeight="1">
      <c r="A43" s="262" t="s">
        <v>942</v>
      </c>
      <c r="B43" s="263" t="s">
        <v>378</v>
      </c>
    </row>
    <row r="44" spans="1:2" ht="18" customHeight="1">
      <c r="A44" s="262" t="s">
        <v>943</v>
      </c>
      <c r="B44" s="263" t="s">
        <v>379</v>
      </c>
    </row>
    <row r="45" spans="1:2" ht="18" customHeight="1">
      <c r="A45" s="262" t="s">
        <v>944</v>
      </c>
      <c r="B45" s="263" t="s">
        <v>381</v>
      </c>
    </row>
    <row r="46" spans="1:2" ht="18" customHeight="1">
      <c r="A46" s="262" t="s">
        <v>945</v>
      </c>
      <c r="B46" s="263" t="s">
        <v>382</v>
      </c>
    </row>
    <row r="47" spans="1:2" ht="18" customHeight="1">
      <c r="A47" s="262" t="s">
        <v>946</v>
      </c>
      <c r="B47" s="263" t="s">
        <v>383</v>
      </c>
    </row>
    <row r="48" spans="1:2" ht="18" customHeight="1">
      <c r="A48" s="262" t="s">
        <v>947</v>
      </c>
      <c r="B48" s="263" t="s">
        <v>384</v>
      </c>
    </row>
    <row r="49" spans="1:2" ht="18" customHeight="1">
      <c r="A49" s="262" t="s">
        <v>948</v>
      </c>
      <c r="B49" s="263" t="s">
        <v>385</v>
      </c>
    </row>
    <row r="50" spans="1:2" ht="18" customHeight="1">
      <c r="A50" s="262" t="s">
        <v>949</v>
      </c>
      <c r="B50" s="263" t="s">
        <v>386</v>
      </c>
    </row>
    <row r="51" spans="1:2" ht="18" customHeight="1">
      <c r="A51" s="262" t="s">
        <v>950</v>
      </c>
      <c r="B51" s="263" t="s">
        <v>387</v>
      </c>
    </row>
    <row r="52" spans="1:2" ht="18" customHeight="1">
      <c r="A52" s="262" t="s">
        <v>951</v>
      </c>
      <c r="B52" s="263" t="s">
        <v>388</v>
      </c>
    </row>
    <row r="53" spans="1:2" ht="18" customHeight="1">
      <c r="A53" s="262" t="s">
        <v>952</v>
      </c>
      <c r="B53" s="263" t="s">
        <v>389</v>
      </c>
    </row>
    <row r="54" spans="1:2" ht="18" customHeight="1">
      <c r="A54" s="262" t="s">
        <v>953</v>
      </c>
      <c r="B54" s="263" t="s">
        <v>390</v>
      </c>
    </row>
    <row r="55" spans="1:2" ht="18" customHeight="1">
      <c r="A55" s="262" t="s">
        <v>954</v>
      </c>
      <c r="B55" s="263" t="s">
        <v>391</v>
      </c>
    </row>
    <row r="56" spans="1:2" ht="18" customHeight="1">
      <c r="A56" s="262" t="s">
        <v>955</v>
      </c>
      <c r="B56" s="263" t="s">
        <v>392</v>
      </c>
    </row>
    <row r="57" spans="1:2" ht="18" customHeight="1">
      <c r="A57" s="262" t="s">
        <v>956</v>
      </c>
      <c r="B57" s="263" t="s">
        <v>393</v>
      </c>
    </row>
    <row r="58" spans="1:2" ht="18" customHeight="1">
      <c r="A58" s="262" t="s">
        <v>957</v>
      </c>
      <c r="B58" s="263" t="s">
        <v>958</v>
      </c>
    </row>
    <row r="59" spans="1:2" ht="18" customHeight="1">
      <c r="A59" s="262" t="s">
        <v>959</v>
      </c>
      <c r="B59" s="263" t="s">
        <v>960</v>
      </c>
    </row>
    <row r="60" spans="1:2" ht="18" customHeight="1">
      <c r="A60" s="262" t="s">
        <v>961</v>
      </c>
      <c r="B60" s="263" t="s">
        <v>394</v>
      </c>
    </row>
    <row r="61" spans="1:2" ht="18" customHeight="1">
      <c r="A61" s="262" t="s">
        <v>962</v>
      </c>
      <c r="B61" s="263" t="s">
        <v>963</v>
      </c>
    </row>
    <row r="62" spans="1:2" ht="18" customHeight="1">
      <c r="A62" s="262" t="s">
        <v>964</v>
      </c>
      <c r="B62" s="263" t="s">
        <v>965</v>
      </c>
    </row>
    <row r="63" spans="1:2" ht="18" customHeight="1">
      <c r="A63" s="262" t="s">
        <v>966</v>
      </c>
      <c r="B63" s="263" t="s">
        <v>967</v>
      </c>
    </row>
    <row r="64" spans="1:2" ht="18" customHeight="1">
      <c r="A64" s="262" t="s">
        <v>968</v>
      </c>
      <c r="B64" s="263" t="s">
        <v>398</v>
      </c>
    </row>
    <row r="65" spans="1:2" ht="33" customHeight="1">
      <c r="A65" s="262" t="s">
        <v>969</v>
      </c>
      <c r="B65" s="263" t="s">
        <v>399</v>
      </c>
    </row>
    <row r="66" spans="1:2" ht="18" customHeight="1">
      <c r="A66" s="260"/>
      <c r="B66" s="261" t="s">
        <v>970</v>
      </c>
    </row>
    <row r="67" spans="1:2" ht="18" customHeight="1">
      <c r="A67" s="262" t="s">
        <v>14</v>
      </c>
      <c r="B67" s="263" t="s">
        <v>426</v>
      </c>
    </row>
    <row r="68" spans="1:2" ht="18" customHeight="1">
      <c r="A68" s="262" t="s">
        <v>16</v>
      </c>
      <c r="B68" s="263" t="s">
        <v>427</v>
      </c>
    </row>
    <row r="69" spans="1:2" ht="18" customHeight="1">
      <c r="A69" s="262" t="s">
        <v>18</v>
      </c>
      <c r="B69" s="263" t="s">
        <v>428</v>
      </c>
    </row>
    <row r="70" spans="1:2" ht="18" customHeight="1">
      <c r="A70" s="260"/>
      <c r="B70" s="261" t="s">
        <v>971</v>
      </c>
    </row>
    <row r="71" spans="1:2" ht="18" customHeight="1">
      <c r="A71" s="262" t="s">
        <v>74</v>
      </c>
      <c r="B71" s="263" t="s">
        <v>429</v>
      </c>
    </row>
    <row r="72" spans="1:2" ht="18" customHeight="1">
      <c r="A72" s="262" t="s">
        <v>75</v>
      </c>
      <c r="B72" s="263" t="s">
        <v>430</v>
      </c>
    </row>
    <row r="73" spans="1:2" ht="18" customHeight="1">
      <c r="A73" s="262" t="s">
        <v>972</v>
      </c>
      <c r="B73" s="263" t="s">
        <v>431</v>
      </c>
    </row>
    <row r="74" spans="1:2" ht="18" customHeight="1">
      <c r="A74" s="262" t="s">
        <v>973</v>
      </c>
      <c r="B74" s="264" t="s">
        <v>432</v>
      </c>
    </row>
    <row r="75" spans="1:2" ht="18" customHeight="1">
      <c r="A75" s="262" t="s">
        <v>974</v>
      </c>
      <c r="B75" s="263" t="s">
        <v>433</v>
      </c>
    </row>
    <row r="76" spans="1:2" ht="30" customHeight="1">
      <c r="A76" s="262" t="s">
        <v>975</v>
      </c>
      <c r="B76" s="265" t="s">
        <v>434</v>
      </c>
    </row>
    <row r="77" spans="1:2" ht="18" customHeight="1">
      <c r="A77" s="262" t="s">
        <v>976</v>
      </c>
      <c r="B77" s="266" t="s">
        <v>435</v>
      </c>
    </row>
    <row r="78" spans="1:2" ht="18" customHeight="1">
      <c r="A78" s="262" t="s">
        <v>977</v>
      </c>
      <c r="B78" s="264" t="s">
        <v>436</v>
      </c>
    </row>
    <row r="79" spans="1:2" ht="18" customHeight="1">
      <c r="A79" s="262" t="s">
        <v>978</v>
      </c>
      <c r="B79" s="264" t="s">
        <v>437</v>
      </c>
    </row>
    <row r="80" spans="1:2" ht="18" customHeight="1">
      <c r="A80" s="262" t="s">
        <v>979</v>
      </c>
      <c r="B80" s="265" t="s">
        <v>438</v>
      </c>
    </row>
    <row r="81" spans="1:2" ht="18" customHeight="1">
      <c r="A81" s="262" t="s">
        <v>980</v>
      </c>
      <c r="B81" s="264" t="s">
        <v>439</v>
      </c>
    </row>
    <row r="82" spans="1:2" ht="18" customHeight="1">
      <c r="A82" s="262" t="s">
        <v>981</v>
      </c>
      <c r="B82" s="264" t="s">
        <v>440</v>
      </c>
    </row>
    <row r="83" spans="1:2" ht="18" customHeight="1">
      <c r="A83" s="262" t="s">
        <v>982</v>
      </c>
      <c r="B83" s="264" t="s">
        <v>441</v>
      </c>
    </row>
    <row r="84" spans="1:2" ht="18" customHeight="1">
      <c r="A84" s="262" t="s">
        <v>983</v>
      </c>
      <c r="B84" s="264" t="s">
        <v>442</v>
      </c>
    </row>
    <row r="85" spans="1:2" ht="18" customHeight="1">
      <c r="A85" s="262" t="s">
        <v>984</v>
      </c>
      <c r="B85" s="267" t="s">
        <v>443</v>
      </c>
    </row>
    <row r="86" spans="1:2" ht="18" customHeight="1">
      <c r="A86" s="262" t="s">
        <v>985</v>
      </c>
      <c r="B86" s="267" t="s">
        <v>444</v>
      </c>
    </row>
    <row r="87" spans="1:2" ht="18" customHeight="1">
      <c r="A87" s="262" t="s">
        <v>986</v>
      </c>
      <c r="B87" s="267" t="s">
        <v>987</v>
      </c>
    </row>
    <row r="88" spans="1:2" ht="18" customHeight="1">
      <c r="A88" s="262" t="s">
        <v>988</v>
      </c>
      <c r="B88" s="267" t="s">
        <v>445</v>
      </c>
    </row>
    <row r="89" spans="1:2" ht="18" customHeight="1">
      <c r="A89" s="262" t="s">
        <v>989</v>
      </c>
      <c r="B89" s="267" t="s">
        <v>990</v>
      </c>
    </row>
    <row r="90" spans="1:2" ht="18" customHeight="1">
      <c r="A90" s="262" t="s">
        <v>991</v>
      </c>
      <c r="B90" s="267" t="s">
        <v>446</v>
      </c>
    </row>
    <row r="91" spans="1:2" ht="18" customHeight="1">
      <c r="A91" s="260"/>
      <c r="B91" s="261" t="s">
        <v>992</v>
      </c>
    </row>
    <row r="92" spans="1:2" ht="18" customHeight="1">
      <c r="A92" s="262" t="s">
        <v>993</v>
      </c>
      <c r="B92" s="267" t="s">
        <v>447</v>
      </c>
    </row>
    <row r="93" spans="1:2" ht="18" customHeight="1">
      <c r="A93" s="262" t="s">
        <v>994</v>
      </c>
      <c r="B93" s="267" t="s">
        <v>448</v>
      </c>
    </row>
    <row r="94" spans="1:2" ht="18" customHeight="1">
      <c r="A94" s="262" t="s">
        <v>995</v>
      </c>
      <c r="B94" s="267" t="s">
        <v>449</v>
      </c>
    </row>
    <row r="95" spans="1:2" ht="18" customHeight="1">
      <c r="A95" s="262" t="s">
        <v>996</v>
      </c>
      <c r="B95" s="267" t="s">
        <v>450</v>
      </c>
    </row>
    <row r="96" spans="1:2" ht="18" customHeight="1">
      <c r="A96" s="262" t="s">
        <v>997</v>
      </c>
      <c r="B96" s="267" t="s">
        <v>451</v>
      </c>
    </row>
    <row r="97" spans="1:2" ht="18" customHeight="1">
      <c r="A97" s="262" t="s">
        <v>998</v>
      </c>
      <c r="B97" s="267" t="s">
        <v>452</v>
      </c>
    </row>
    <row r="98" spans="1:2" ht="18" customHeight="1">
      <c r="A98" s="262" t="s">
        <v>999</v>
      </c>
      <c r="B98" s="267" t="s">
        <v>453</v>
      </c>
    </row>
    <row r="99" spans="1:2" ht="18" customHeight="1">
      <c r="A99" s="262" t="s">
        <v>1000</v>
      </c>
      <c r="B99" s="267" t="s">
        <v>454</v>
      </c>
    </row>
    <row r="100" spans="1:2" ht="18" customHeight="1">
      <c r="A100" s="262" t="s">
        <v>1001</v>
      </c>
      <c r="B100" s="267" t="s">
        <v>455</v>
      </c>
    </row>
    <row r="101" spans="1:2" ht="27.15" customHeight="1">
      <c r="A101" s="262" t="s">
        <v>1002</v>
      </c>
      <c r="B101" s="267" t="s">
        <v>456</v>
      </c>
    </row>
    <row r="102" spans="1:2" ht="18" customHeight="1">
      <c r="A102" s="262" t="s">
        <v>1003</v>
      </c>
      <c r="B102" s="267" t="s">
        <v>457</v>
      </c>
    </row>
    <row r="103" spans="1:2" ht="18" customHeight="1">
      <c r="A103" s="262" t="s">
        <v>1004</v>
      </c>
      <c r="B103" s="267" t="s">
        <v>458</v>
      </c>
    </row>
    <row r="104" spans="1:2" ht="18" customHeight="1">
      <c r="A104" s="262" t="s">
        <v>1005</v>
      </c>
      <c r="B104" s="267" t="s">
        <v>459</v>
      </c>
    </row>
    <row r="105" spans="1:2" ht="18" customHeight="1">
      <c r="A105" s="262" t="s">
        <v>1006</v>
      </c>
      <c r="B105" s="267" t="s">
        <v>460</v>
      </c>
    </row>
    <row r="106" spans="1:2" ht="18" customHeight="1">
      <c r="A106" s="262" t="s">
        <v>1007</v>
      </c>
      <c r="B106" s="267" t="s">
        <v>461</v>
      </c>
    </row>
    <row r="107" spans="1:2" ht="18" customHeight="1">
      <c r="A107" s="262" t="s">
        <v>1008</v>
      </c>
      <c r="B107" s="267" t="s">
        <v>462</v>
      </c>
    </row>
    <row r="108" spans="1:2" ht="18" customHeight="1">
      <c r="A108" s="262" t="s">
        <v>1009</v>
      </c>
      <c r="B108" s="267" t="s">
        <v>463</v>
      </c>
    </row>
    <row r="109" spans="1:2" ht="18" customHeight="1">
      <c r="A109" s="262" t="s">
        <v>1010</v>
      </c>
      <c r="B109" s="267" t="s">
        <v>464</v>
      </c>
    </row>
    <row r="110" spans="1:2" ht="18" customHeight="1">
      <c r="A110" s="262" t="s">
        <v>1011</v>
      </c>
      <c r="B110" s="267" t="s">
        <v>465</v>
      </c>
    </row>
    <row r="111" spans="1:2" ht="18" customHeight="1">
      <c r="A111" s="262" t="s">
        <v>1012</v>
      </c>
      <c r="B111" s="267" t="s">
        <v>466</v>
      </c>
    </row>
    <row r="112" spans="1:2" ht="18" customHeight="1">
      <c r="A112" s="262" t="s">
        <v>1013</v>
      </c>
      <c r="B112" s="267" t="s">
        <v>467</v>
      </c>
    </row>
    <row r="113" spans="1:2" ht="18" customHeight="1">
      <c r="A113" s="262" t="s">
        <v>1014</v>
      </c>
      <c r="B113" s="267" t="s">
        <v>468</v>
      </c>
    </row>
    <row r="114" spans="1:2" ht="18" customHeight="1">
      <c r="A114" s="262" t="s">
        <v>1015</v>
      </c>
      <c r="B114" s="267" t="s">
        <v>469</v>
      </c>
    </row>
    <row r="115" spans="1:2" ht="18" customHeight="1">
      <c r="A115" s="260"/>
      <c r="B115" s="261" t="s">
        <v>1016</v>
      </c>
    </row>
    <row r="116" spans="1:2" ht="18" customHeight="1">
      <c r="A116" s="262" t="s">
        <v>214</v>
      </c>
      <c r="B116" s="267" t="s">
        <v>470</v>
      </c>
    </row>
    <row r="117" spans="1:2" ht="18" customHeight="1">
      <c r="A117" s="262" t="s">
        <v>1017</v>
      </c>
      <c r="B117" s="267" t="s">
        <v>471</v>
      </c>
    </row>
    <row r="118" spans="1:2" ht="18" customHeight="1">
      <c r="A118" s="262" t="s">
        <v>1018</v>
      </c>
      <c r="B118" s="267" t="s">
        <v>851</v>
      </c>
    </row>
    <row r="119" spans="1:2" ht="18" customHeight="1">
      <c r="A119" s="262" t="s">
        <v>1019</v>
      </c>
      <c r="B119" s="267" t="s">
        <v>472</v>
      </c>
    </row>
    <row r="120" spans="1:2" ht="18" customHeight="1">
      <c r="A120" s="262" t="s">
        <v>1020</v>
      </c>
      <c r="B120" s="267" t="s">
        <v>473</v>
      </c>
    </row>
    <row r="121" spans="1:2" ht="18" customHeight="1">
      <c r="A121" s="262" t="s">
        <v>1021</v>
      </c>
      <c r="B121" s="267" t="s">
        <v>474</v>
      </c>
    </row>
    <row r="122" spans="1:2" ht="18" customHeight="1">
      <c r="A122" s="262" t="s">
        <v>1022</v>
      </c>
      <c r="B122" s="267" t="s">
        <v>475</v>
      </c>
    </row>
    <row r="123" spans="1:2" ht="18" customHeight="1">
      <c r="A123" s="262" t="s">
        <v>1023</v>
      </c>
      <c r="B123" s="267" t="s">
        <v>476</v>
      </c>
    </row>
    <row r="124" spans="1:2" ht="18" customHeight="1">
      <c r="A124" s="262" t="s">
        <v>1024</v>
      </c>
      <c r="B124" s="267" t="s">
        <v>1025</v>
      </c>
    </row>
    <row r="125" spans="1:2" ht="18" customHeight="1">
      <c r="A125" s="262" t="s">
        <v>1026</v>
      </c>
      <c r="B125" s="267" t="s">
        <v>477</v>
      </c>
    </row>
    <row r="126" spans="1:2" ht="18" customHeight="1">
      <c r="A126" s="262" t="s">
        <v>1027</v>
      </c>
      <c r="B126" s="267" t="s">
        <v>478</v>
      </c>
    </row>
    <row r="127" spans="1:2" ht="18" customHeight="1">
      <c r="A127" s="262" t="s">
        <v>1028</v>
      </c>
      <c r="B127" s="267" t="s">
        <v>852</v>
      </c>
    </row>
    <row r="128" spans="1:2" ht="18" customHeight="1">
      <c r="A128" s="262" t="s">
        <v>1029</v>
      </c>
      <c r="B128" s="267" t="s">
        <v>479</v>
      </c>
    </row>
    <row r="129" spans="1:2" ht="18" customHeight="1">
      <c r="A129" s="262" t="s">
        <v>1030</v>
      </c>
      <c r="B129" s="267" t="s">
        <v>480</v>
      </c>
    </row>
    <row r="130" spans="1:2" ht="18" customHeight="1">
      <c r="A130" s="262" t="s">
        <v>1031</v>
      </c>
      <c r="B130" s="267" t="s">
        <v>1503</v>
      </c>
    </row>
    <row r="131" spans="1:2" ht="18" customHeight="1">
      <c r="A131" s="262" t="s">
        <v>1032</v>
      </c>
      <c r="B131" s="267" t="s">
        <v>481</v>
      </c>
    </row>
    <row r="132" spans="1:2" ht="18" customHeight="1">
      <c r="A132" s="262" t="s">
        <v>1033</v>
      </c>
      <c r="B132" s="267" t="s">
        <v>482</v>
      </c>
    </row>
    <row r="133" spans="1:2" ht="18" customHeight="1">
      <c r="A133" s="262" t="s">
        <v>1034</v>
      </c>
      <c r="B133" s="267" t="s">
        <v>483</v>
      </c>
    </row>
    <row r="134" spans="1:2" ht="18" customHeight="1">
      <c r="A134" s="262" t="s">
        <v>1035</v>
      </c>
      <c r="B134" s="267" t="s">
        <v>484</v>
      </c>
    </row>
    <row r="135" spans="1:2" ht="18" customHeight="1">
      <c r="A135" s="262" t="s">
        <v>1036</v>
      </c>
      <c r="B135" s="267" t="s">
        <v>853</v>
      </c>
    </row>
    <row r="136" spans="1:2" ht="18" customHeight="1">
      <c r="A136" s="262" t="s">
        <v>1037</v>
      </c>
      <c r="B136" s="267" t="s">
        <v>485</v>
      </c>
    </row>
    <row r="137" spans="1:2" ht="27.15" customHeight="1">
      <c r="A137" s="262" t="s">
        <v>1038</v>
      </c>
      <c r="B137" s="267" t="s">
        <v>486</v>
      </c>
    </row>
    <row r="138" spans="1:2" ht="18" customHeight="1">
      <c r="A138" s="262" t="s">
        <v>1039</v>
      </c>
      <c r="B138" s="267" t="s">
        <v>487</v>
      </c>
    </row>
    <row r="139" spans="1:2" ht="18" customHeight="1">
      <c r="A139" s="262" t="s">
        <v>1040</v>
      </c>
      <c r="B139" s="267" t="s">
        <v>488</v>
      </c>
    </row>
    <row r="140" spans="1:2" ht="18" customHeight="1">
      <c r="A140" s="262" t="s">
        <v>1041</v>
      </c>
      <c r="B140" s="267" t="s">
        <v>489</v>
      </c>
    </row>
    <row r="141" spans="1:2" ht="18" customHeight="1">
      <c r="A141" s="262" t="s">
        <v>1042</v>
      </c>
      <c r="B141" s="267" t="s">
        <v>490</v>
      </c>
    </row>
    <row r="142" spans="1:2" ht="18" customHeight="1">
      <c r="A142" s="262" t="s">
        <v>1043</v>
      </c>
      <c r="B142" s="267" t="s">
        <v>854</v>
      </c>
    </row>
    <row r="143" spans="1:2" ht="18" customHeight="1">
      <c r="A143" s="262" t="s">
        <v>1044</v>
      </c>
      <c r="B143" s="267" t="s">
        <v>491</v>
      </c>
    </row>
    <row r="144" spans="1:2" ht="18" customHeight="1">
      <c r="A144" s="262" t="s">
        <v>1045</v>
      </c>
      <c r="B144" s="267" t="s">
        <v>492</v>
      </c>
    </row>
    <row r="145" spans="1:2" ht="18" customHeight="1">
      <c r="A145" s="262" t="s">
        <v>1046</v>
      </c>
      <c r="B145" s="267" t="s">
        <v>493</v>
      </c>
    </row>
    <row r="146" spans="1:2" ht="18" customHeight="1">
      <c r="A146" s="262" t="s">
        <v>1047</v>
      </c>
      <c r="B146" s="267" t="s">
        <v>494</v>
      </c>
    </row>
    <row r="147" spans="1:2" ht="18" customHeight="1">
      <c r="A147" s="262" t="s">
        <v>1048</v>
      </c>
      <c r="B147" s="267" t="s">
        <v>495</v>
      </c>
    </row>
    <row r="148" spans="1:2" ht="18" customHeight="1">
      <c r="A148" s="262" t="s">
        <v>1049</v>
      </c>
      <c r="B148" s="267" t="s">
        <v>855</v>
      </c>
    </row>
    <row r="149" spans="1:2" ht="18" customHeight="1">
      <c r="A149" s="262" t="s">
        <v>1050</v>
      </c>
      <c r="B149" s="267" t="s">
        <v>496</v>
      </c>
    </row>
    <row r="150" spans="1:2" ht="18" customHeight="1">
      <c r="A150" s="262" t="s">
        <v>1051</v>
      </c>
      <c r="B150" s="267" t="s">
        <v>497</v>
      </c>
    </row>
    <row r="151" spans="1:2" ht="18" customHeight="1">
      <c r="A151" s="262" t="s">
        <v>1052</v>
      </c>
      <c r="B151" s="267" t="s">
        <v>498</v>
      </c>
    </row>
    <row r="152" spans="1:2" ht="18" customHeight="1">
      <c r="A152" s="262" t="s">
        <v>1053</v>
      </c>
      <c r="B152" s="267" t="s">
        <v>499</v>
      </c>
    </row>
    <row r="153" spans="1:2" ht="18" customHeight="1">
      <c r="A153" s="262" t="s">
        <v>1054</v>
      </c>
      <c r="B153" s="267" t="s">
        <v>500</v>
      </c>
    </row>
    <row r="154" spans="1:2" ht="18" customHeight="1">
      <c r="A154" s="262" t="s">
        <v>1055</v>
      </c>
      <c r="B154" s="267" t="s">
        <v>856</v>
      </c>
    </row>
    <row r="155" spans="1:2" ht="18" customHeight="1">
      <c r="A155" s="262" t="s">
        <v>1056</v>
      </c>
      <c r="B155" s="267" t="s">
        <v>501</v>
      </c>
    </row>
    <row r="156" spans="1:2" ht="18" customHeight="1">
      <c r="A156" s="262" t="s">
        <v>1504</v>
      </c>
      <c r="B156" s="267" t="s">
        <v>1505</v>
      </c>
    </row>
    <row r="157" spans="1:2" ht="18" customHeight="1">
      <c r="A157" s="260"/>
      <c r="B157" s="268" t="s">
        <v>1057</v>
      </c>
    </row>
    <row r="158" spans="1:2" ht="27.75" customHeight="1">
      <c r="A158" s="262" t="s">
        <v>1058</v>
      </c>
      <c r="B158" s="269" t="s">
        <v>502</v>
      </c>
    </row>
    <row r="159" spans="1:2" ht="18" customHeight="1">
      <c r="A159" s="262" t="s">
        <v>1059</v>
      </c>
      <c r="B159" s="269" t="s">
        <v>1060</v>
      </c>
    </row>
    <row r="160" spans="1:2" ht="18" customHeight="1">
      <c r="A160" s="262" t="s">
        <v>1061</v>
      </c>
      <c r="B160" s="269" t="s">
        <v>503</v>
      </c>
    </row>
    <row r="161" spans="1:2" ht="18" customHeight="1">
      <c r="A161" s="262" t="s">
        <v>1062</v>
      </c>
      <c r="B161" s="269" t="s">
        <v>504</v>
      </c>
    </row>
    <row r="162" spans="1:2" ht="18" customHeight="1">
      <c r="A162" s="262" t="s">
        <v>1063</v>
      </c>
      <c r="B162" s="269" t="s">
        <v>505</v>
      </c>
    </row>
    <row r="163" spans="1:2" ht="18" customHeight="1">
      <c r="A163" s="262" t="s">
        <v>1064</v>
      </c>
      <c r="B163" s="269" t="s">
        <v>506</v>
      </c>
    </row>
    <row r="164" spans="1:2" ht="18" customHeight="1">
      <c r="A164" s="262" t="s">
        <v>1065</v>
      </c>
      <c r="B164" s="269" t="s">
        <v>507</v>
      </c>
    </row>
    <row r="165" spans="1:2" ht="18" customHeight="1">
      <c r="A165" s="262" t="s">
        <v>1066</v>
      </c>
      <c r="B165" s="269" t="s">
        <v>508</v>
      </c>
    </row>
    <row r="166" spans="1:2" ht="18" customHeight="1">
      <c r="A166" s="262" t="s">
        <v>1067</v>
      </c>
      <c r="B166" s="269" t="s">
        <v>509</v>
      </c>
    </row>
    <row r="167" spans="1:2" ht="18" customHeight="1">
      <c r="A167" s="262" t="s">
        <v>1068</v>
      </c>
      <c r="B167" s="269" t="s">
        <v>510</v>
      </c>
    </row>
    <row r="168" spans="1:2" ht="18" customHeight="1">
      <c r="A168" s="262" t="s">
        <v>1069</v>
      </c>
      <c r="B168" s="269" t="s">
        <v>511</v>
      </c>
    </row>
    <row r="169" spans="1:2" ht="18" customHeight="1">
      <c r="A169" s="262" t="s">
        <v>1070</v>
      </c>
      <c r="B169" s="269" t="s">
        <v>512</v>
      </c>
    </row>
    <row r="170" spans="1:2" ht="27.15" customHeight="1">
      <c r="A170" s="262" t="s">
        <v>1071</v>
      </c>
      <c r="B170" s="269" t="s">
        <v>513</v>
      </c>
    </row>
    <row r="171" spans="1:2" ht="18" customHeight="1">
      <c r="A171" s="262" t="s">
        <v>1072</v>
      </c>
      <c r="B171" s="269" t="s">
        <v>514</v>
      </c>
    </row>
    <row r="172" spans="1:2" ht="18" customHeight="1">
      <c r="A172" s="262" t="s">
        <v>1073</v>
      </c>
      <c r="B172" s="269" t="s">
        <v>515</v>
      </c>
    </row>
    <row r="173" spans="1:2" ht="18" customHeight="1">
      <c r="A173" s="262" t="s">
        <v>1074</v>
      </c>
      <c r="B173" s="269" t="s">
        <v>1075</v>
      </c>
    </row>
    <row r="174" spans="1:2" ht="18" customHeight="1">
      <c r="A174" s="262" t="s">
        <v>1076</v>
      </c>
      <c r="B174" s="269" t="s">
        <v>516</v>
      </c>
    </row>
    <row r="175" spans="1:2" ht="18" customHeight="1">
      <c r="A175" s="262" t="s">
        <v>1077</v>
      </c>
      <c r="B175" s="269" t="s">
        <v>517</v>
      </c>
    </row>
    <row r="176" spans="1:2" ht="18" customHeight="1">
      <c r="A176" s="262" t="s">
        <v>1078</v>
      </c>
      <c r="B176" s="269" t="s">
        <v>518</v>
      </c>
    </row>
    <row r="177" spans="1:2" ht="18" customHeight="1">
      <c r="A177" s="262" t="s">
        <v>1079</v>
      </c>
      <c r="B177" s="269" t="s">
        <v>519</v>
      </c>
    </row>
    <row r="178" spans="1:2" ht="18" customHeight="1">
      <c r="A178" s="262" t="s">
        <v>1080</v>
      </c>
      <c r="B178" s="269" t="s">
        <v>520</v>
      </c>
    </row>
    <row r="179" spans="1:2" ht="18" customHeight="1">
      <c r="A179" s="262" t="s">
        <v>1081</v>
      </c>
      <c r="B179" s="269" t="s">
        <v>521</v>
      </c>
    </row>
    <row r="180" spans="1:2" ht="18" customHeight="1">
      <c r="A180" s="262" t="s">
        <v>1082</v>
      </c>
      <c r="B180" s="269" t="s">
        <v>522</v>
      </c>
    </row>
    <row r="181" spans="1:2" ht="18" customHeight="1">
      <c r="A181" s="262" t="s">
        <v>1083</v>
      </c>
      <c r="B181" s="269" t="s">
        <v>523</v>
      </c>
    </row>
    <row r="182" spans="1:2" ht="18" customHeight="1">
      <c r="A182" s="262" t="s">
        <v>1084</v>
      </c>
      <c r="B182" s="269" t="s">
        <v>524</v>
      </c>
    </row>
    <row r="183" spans="1:2" ht="18" customHeight="1">
      <c r="A183" s="262" t="s">
        <v>1085</v>
      </c>
      <c r="B183" s="269" t="s">
        <v>525</v>
      </c>
    </row>
    <row r="184" spans="1:2" ht="18" customHeight="1">
      <c r="A184" s="262" t="s">
        <v>1086</v>
      </c>
      <c r="B184" s="269" t="s">
        <v>526</v>
      </c>
    </row>
    <row r="185" spans="1:2" ht="18" customHeight="1">
      <c r="A185" s="262" t="s">
        <v>1087</v>
      </c>
      <c r="B185" s="269" t="s">
        <v>527</v>
      </c>
    </row>
    <row r="186" spans="1:2" ht="18" customHeight="1">
      <c r="A186" s="262" t="s">
        <v>1088</v>
      </c>
      <c r="B186" s="269" t="s">
        <v>528</v>
      </c>
    </row>
    <row r="187" spans="1:2" ht="18" customHeight="1">
      <c r="A187" s="260"/>
      <c r="B187" s="261" t="s">
        <v>1089</v>
      </c>
    </row>
    <row r="188" spans="1:2" ht="18" customHeight="1">
      <c r="A188" s="262" t="s">
        <v>143</v>
      </c>
      <c r="B188" s="263" t="s">
        <v>400</v>
      </c>
    </row>
    <row r="189" spans="1:2" ht="18" customHeight="1">
      <c r="A189" s="262" t="s">
        <v>144</v>
      </c>
      <c r="B189" s="263" t="s">
        <v>401</v>
      </c>
    </row>
    <row r="190" spans="1:2" ht="18" customHeight="1">
      <c r="A190" s="262" t="s">
        <v>145</v>
      </c>
      <c r="B190" s="263" t="s">
        <v>402</v>
      </c>
    </row>
    <row r="191" spans="1:2" ht="30" customHeight="1">
      <c r="A191" s="262" t="s">
        <v>146</v>
      </c>
      <c r="B191" s="263" t="s">
        <v>403</v>
      </c>
    </row>
    <row r="192" spans="1:2" ht="18" customHeight="1">
      <c r="A192" s="262" t="s">
        <v>147</v>
      </c>
      <c r="B192" s="263" t="s">
        <v>404</v>
      </c>
    </row>
    <row r="193" spans="1:2" ht="18" customHeight="1">
      <c r="A193" s="262" t="s">
        <v>148</v>
      </c>
      <c r="B193" s="263" t="s">
        <v>405</v>
      </c>
    </row>
    <row r="194" spans="1:2" ht="27.75" customHeight="1">
      <c r="A194" s="262" t="s">
        <v>151</v>
      </c>
      <c r="B194" s="263" t="s">
        <v>406</v>
      </c>
    </row>
    <row r="195" spans="1:2" ht="30" customHeight="1">
      <c r="A195" s="262" t="s">
        <v>153</v>
      </c>
      <c r="B195" s="263" t="s">
        <v>407</v>
      </c>
    </row>
    <row r="196" spans="1:2" ht="27.75" customHeight="1">
      <c r="A196" s="262" t="s">
        <v>157</v>
      </c>
      <c r="B196" s="263" t="s">
        <v>408</v>
      </c>
    </row>
    <row r="197" spans="1:2" ht="18" customHeight="1">
      <c r="A197" s="262" t="s">
        <v>159</v>
      </c>
      <c r="B197" s="263" t="s">
        <v>409</v>
      </c>
    </row>
    <row r="198" spans="1:2" ht="44.25" customHeight="1">
      <c r="A198" s="262" t="s">
        <v>160</v>
      </c>
      <c r="B198" s="263" t="s">
        <v>410</v>
      </c>
    </row>
    <row r="199" spans="1:2" ht="27.75" customHeight="1">
      <c r="A199" s="262" t="s">
        <v>163</v>
      </c>
      <c r="B199" s="263" t="s">
        <v>411</v>
      </c>
    </row>
    <row r="200" spans="1:2" ht="18" customHeight="1">
      <c r="A200" s="262" t="s">
        <v>165</v>
      </c>
      <c r="B200" s="263" t="s">
        <v>412</v>
      </c>
    </row>
    <row r="201" spans="1:2" ht="31.5" customHeight="1">
      <c r="A201" s="262" t="s">
        <v>167</v>
      </c>
      <c r="B201" s="263" t="s">
        <v>413</v>
      </c>
    </row>
    <row r="202" spans="1:2" ht="18" customHeight="1">
      <c r="A202" s="262" t="s">
        <v>169</v>
      </c>
      <c r="B202" s="263" t="s">
        <v>414</v>
      </c>
    </row>
    <row r="203" spans="1:2" ht="28.5" customHeight="1">
      <c r="A203" s="262" t="s">
        <v>1090</v>
      </c>
      <c r="B203" s="263" t="s">
        <v>415</v>
      </c>
    </row>
    <row r="204" spans="1:2" ht="44.25" customHeight="1">
      <c r="A204" s="262" t="s">
        <v>1091</v>
      </c>
      <c r="B204" s="263" t="s">
        <v>416</v>
      </c>
    </row>
    <row r="205" spans="1:2" ht="18" customHeight="1">
      <c r="A205" s="262" t="s">
        <v>1092</v>
      </c>
      <c r="B205" s="263" t="s">
        <v>417</v>
      </c>
    </row>
    <row r="206" spans="1:2" ht="30.9" customHeight="1">
      <c r="A206" s="262" t="s">
        <v>1093</v>
      </c>
      <c r="B206" s="263" t="s">
        <v>418</v>
      </c>
    </row>
    <row r="207" spans="1:2" ht="18" customHeight="1">
      <c r="A207" s="262" t="s">
        <v>1094</v>
      </c>
      <c r="B207" s="263" t="s">
        <v>419</v>
      </c>
    </row>
    <row r="208" spans="1:2" ht="30.9" customHeight="1">
      <c r="A208" s="262" t="s">
        <v>1095</v>
      </c>
      <c r="B208" s="263" t="s">
        <v>420</v>
      </c>
    </row>
    <row r="209" spans="1:2" ht="18" customHeight="1">
      <c r="A209" s="262" t="s">
        <v>1096</v>
      </c>
      <c r="B209" s="263" t="s">
        <v>421</v>
      </c>
    </row>
    <row r="210" spans="1:2" ht="30.9" customHeight="1">
      <c r="A210" s="262" t="s">
        <v>1097</v>
      </c>
      <c r="B210" s="263" t="s">
        <v>422</v>
      </c>
    </row>
    <row r="211" spans="1:2" ht="18" customHeight="1">
      <c r="A211" s="262" t="s">
        <v>1098</v>
      </c>
      <c r="B211" s="263" t="s">
        <v>423</v>
      </c>
    </row>
    <row r="212" spans="1:2" ht="18" customHeight="1">
      <c r="A212" s="262" t="s">
        <v>1099</v>
      </c>
      <c r="B212" s="263" t="s">
        <v>424</v>
      </c>
    </row>
    <row r="213" spans="1:2" ht="18" customHeight="1">
      <c r="A213" s="262" t="s">
        <v>1100</v>
      </c>
      <c r="B213" s="263" t="s">
        <v>425</v>
      </c>
    </row>
    <row r="214" spans="1:2" ht="18" customHeight="1">
      <c r="A214" s="260"/>
      <c r="B214" s="261" t="s">
        <v>1101</v>
      </c>
    </row>
    <row r="215" spans="1:2" ht="18" customHeight="1">
      <c r="A215" s="262" t="s">
        <v>1102</v>
      </c>
      <c r="B215" s="269" t="s">
        <v>529</v>
      </c>
    </row>
    <row r="216" spans="1:2" ht="18" customHeight="1">
      <c r="A216" s="262" t="s">
        <v>1103</v>
      </c>
      <c r="B216" s="269" t="s">
        <v>530</v>
      </c>
    </row>
    <row r="217" spans="1:2" ht="18" customHeight="1">
      <c r="A217" s="262" t="s">
        <v>1104</v>
      </c>
      <c r="B217" s="269" t="s">
        <v>531</v>
      </c>
    </row>
    <row r="218" spans="1:2" ht="18" customHeight="1">
      <c r="A218" s="262" t="s">
        <v>1105</v>
      </c>
      <c r="B218" s="269" t="s">
        <v>532</v>
      </c>
    </row>
    <row r="219" spans="1:2" ht="18" customHeight="1">
      <c r="A219" s="262" t="s">
        <v>1106</v>
      </c>
      <c r="B219" s="269" t="s">
        <v>533</v>
      </c>
    </row>
    <row r="220" spans="1:2" ht="18" customHeight="1">
      <c r="A220" s="262" t="s">
        <v>1107</v>
      </c>
      <c r="B220" s="269" t="s">
        <v>534</v>
      </c>
    </row>
    <row r="221" spans="1:2" ht="18" customHeight="1">
      <c r="A221" s="262" t="s">
        <v>1108</v>
      </c>
      <c r="B221" s="269" t="s">
        <v>535</v>
      </c>
    </row>
    <row r="222" spans="1:2" ht="18" customHeight="1">
      <c r="A222" s="262" t="s">
        <v>1109</v>
      </c>
      <c r="B222" s="269" t="s">
        <v>536</v>
      </c>
    </row>
    <row r="223" spans="1:2" ht="18" customHeight="1">
      <c r="A223" s="262" t="s">
        <v>1110</v>
      </c>
      <c r="B223" s="269" t="s">
        <v>537</v>
      </c>
    </row>
    <row r="224" spans="1:2" ht="18" customHeight="1">
      <c r="A224" s="260"/>
      <c r="B224" s="268" t="s">
        <v>1111</v>
      </c>
    </row>
    <row r="225" spans="1:2" ht="18" customHeight="1">
      <c r="A225" s="262" t="s">
        <v>1112</v>
      </c>
      <c r="B225" s="264" t="s">
        <v>538</v>
      </c>
    </row>
    <row r="226" spans="1:2" ht="18" customHeight="1">
      <c r="A226" s="262" t="s">
        <v>1113</v>
      </c>
      <c r="B226" s="264" t="s">
        <v>539</v>
      </c>
    </row>
    <row r="227" spans="1:2" ht="18" customHeight="1">
      <c r="A227" s="262" t="s">
        <v>1114</v>
      </c>
      <c r="B227" s="264" t="s">
        <v>540</v>
      </c>
    </row>
    <row r="228" spans="1:2" ht="18" customHeight="1">
      <c r="A228" s="262" t="s">
        <v>1115</v>
      </c>
      <c r="B228" s="264" t="s">
        <v>541</v>
      </c>
    </row>
    <row r="229" spans="1:2" ht="18" customHeight="1">
      <c r="A229" s="262" t="s">
        <v>1116</v>
      </c>
      <c r="B229" s="264" t="s">
        <v>542</v>
      </c>
    </row>
    <row r="230" spans="1:2" ht="18" customHeight="1">
      <c r="A230" s="262" t="s">
        <v>1117</v>
      </c>
      <c r="B230" s="264" t="s">
        <v>543</v>
      </c>
    </row>
    <row r="231" spans="1:2" ht="18" customHeight="1">
      <c r="A231" s="262" t="s">
        <v>1118</v>
      </c>
      <c r="B231" s="264" t="s">
        <v>544</v>
      </c>
    </row>
    <row r="232" spans="1:2" ht="18" customHeight="1">
      <c r="A232" s="262" t="s">
        <v>1119</v>
      </c>
      <c r="B232" s="264" t="s">
        <v>545</v>
      </c>
    </row>
    <row r="233" spans="1:2" ht="18" customHeight="1">
      <c r="A233" s="262" t="s">
        <v>1120</v>
      </c>
      <c r="B233" s="264" t="s">
        <v>546</v>
      </c>
    </row>
    <row r="234" spans="1:2" ht="18" customHeight="1">
      <c r="A234" s="262" t="s">
        <v>1121</v>
      </c>
      <c r="B234" s="264" t="s">
        <v>547</v>
      </c>
    </row>
    <row r="235" spans="1:2" ht="18" customHeight="1">
      <c r="A235" s="262" t="s">
        <v>1122</v>
      </c>
      <c r="B235" s="264" t="s">
        <v>548</v>
      </c>
    </row>
    <row r="236" spans="1:2" ht="18" customHeight="1">
      <c r="A236" s="262" t="s">
        <v>1123</v>
      </c>
      <c r="B236" s="264" t="s">
        <v>549</v>
      </c>
    </row>
    <row r="237" spans="1:2" ht="18" customHeight="1">
      <c r="A237" s="262" t="s">
        <v>1124</v>
      </c>
      <c r="B237" s="264" t="s">
        <v>550</v>
      </c>
    </row>
    <row r="238" spans="1:2" ht="18" customHeight="1">
      <c r="A238" s="262" t="s">
        <v>1125</v>
      </c>
      <c r="B238" s="264" t="s">
        <v>551</v>
      </c>
    </row>
    <row r="239" spans="1:2" ht="18" customHeight="1">
      <c r="A239" s="262" t="s">
        <v>1126</v>
      </c>
      <c r="B239" s="264" t="s">
        <v>552</v>
      </c>
    </row>
    <row r="240" spans="1:2" ht="18" customHeight="1">
      <c r="A240" s="262" t="s">
        <v>1127</v>
      </c>
      <c r="B240" s="264" t="s">
        <v>553</v>
      </c>
    </row>
    <row r="241" spans="1:2" ht="18" customHeight="1">
      <c r="A241" s="262" t="s">
        <v>1128</v>
      </c>
      <c r="B241" s="264" t="s">
        <v>554</v>
      </c>
    </row>
    <row r="242" spans="1:2" ht="18" customHeight="1">
      <c r="A242" s="262" t="s">
        <v>1129</v>
      </c>
      <c r="B242" s="264" t="s">
        <v>1130</v>
      </c>
    </row>
    <row r="243" spans="1:2" ht="18" customHeight="1">
      <c r="A243" s="262" t="s">
        <v>1131</v>
      </c>
      <c r="B243" s="264" t="s">
        <v>1132</v>
      </c>
    </row>
    <row r="244" spans="1:2" ht="18" customHeight="1">
      <c r="A244" s="262" t="s">
        <v>1133</v>
      </c>
      <c r="B244" s="264" t="s">
        <v>555</v>
      </c>
    </row>
    <row r="245" spans="1:2" ht="18" customHeight="1">
      <c r="A245" s="262" t="s">
        <v>1134</v>
      </c>
      <c r="B245" s="264" t="s">
        <v>556</v>
      </c>
    </row>
    <row r="246" spans="1:2" ht="18" customHeight="1">
      <c r="A246" s="262" t="s">
        <v>1135</v>
      </c>
      <c r="B246" s="264" t="s">
        <v>557</v>
      </c>
    </row>
    <row r="247" spans="1:2" ht="18" customHeight="1">
      <c r="A247" s="262" t="s">
        <v>1136</v>
      </c>
      <c r="B247" s="264" t="s">
        <v>558</v>
      </c>
    </row>
    <row r="248" spans="1:2" ht="18" customHeight="1">
      <c r="A248" s="262" t="s">
        <v>1137</v>
      </c>
      <c r="B248" s="264" t="s">
        <v>559</v>
      </c>
    </row>
    <row r="249" spans="1:2" ht="18" customHeight="1">
      <c r="A249" s="262" t="s">
        <v>1138</v>
      </c>
      <c r="B249" s="264" t="s">
        <v>560</v>
      </c>
    </row>
    <row r="250" spans="1:2" ht="18" customHeight="1">
      <c r="A250" s="262" t="s">
        <v>1139</v>
      </c>
      <c r="B250" s="264" t="s">
        <v>561</v>
      </c>
    </row>
    <row r="251" spans="1:2" ht="18" customHeight="1">
      <c r="A251" s="262" t="s">
        <v>1140</v>
      </c>
      <c r="B251" s="264" t="s">
        <v>562</v>
      </c>
    </row>
    <row r="252" spans="1:2" ht="18" customHeight="1">
      <c r="A252" s="262" t="s">
        <v>1141</v>
      </c>
      <c r="B252" s="264" t="s">
        <v>563</v>
      </c>
    </row>
    <row r="253" spans="1:2" ht="18" customHeight="1">
      <c r="A253" s="262" t="s">
        <v>1142</v>
      </c>
      <c r="B253" s="264" t="s">
        <v>564</v>
      </c>
    </row>
    <row r="254" spans="1:2" ht="18" customHeight="1">
      <c r="A254" s="262" t="s">
        <v>1143</v>
      </c>
      <c r="B254" s="264" t="s">
        <v>565</v>
      </c>
    </row>
    <row r="255" spans="1:2" ht="18" customHeight="1">
      <c r="A255" s="262" t="s">
        <v>1144</v>
      </c>
      <c r="B255" s="264" t="s">
        <v>566</v>
      </c>
    </row>
    <row r="256" spans="1:2" ht="18" customHeight="1">
      <c r="A256" s="260"/>
      <c r="B256" s="268" t="s">
        <v>1145</v>
      </c>
    </row>
    <row r="257" spans="1:2" ht="18" customHeight="1">
      <c r="A257" s="262" t="s">
        <v>1146</v>
      </c>
      <c r="B257" s="264" t="s">
        <v>567</v>
      </c>
    </row>
    <row r="258" spans="1:2" ht="18" customHeight="1">
      <c r="A258" s="262" t="s">
        <v>1147</v>
      </c>
      <c r="B258" s="264" t="s">
        <v>568</v>
      </c>
    </row>
    <row r="259" spans="1:2" ht="18" customHeight="1">
      <c r="A259" s="262" t="s">
        <v>1148</v>
      </c>
      <c r="B259" s="264" t="s">
        <v>569</v>
      </c>
    </row>
    <row r="260" spans="1:2" ht="18" customHeight="1">
      <c r="A260" s="262" t="s">
        <v>1149</v>
      </c>
      <c r="B260" s="264" t="s">
        <v>570</v>
      </c>
    </row>
    <row r="261" spans="1:2" ht="18" customHeight="1">
      <c r="A261" s="262" t="s">
        <v>1150</v>
      </c>
      <c r="B261" s="264" t="s">
        <v>571</v>
      </c>
    </row>
    <row r="262" spans="1:2" ht="18" customHeight="1">
      <c r="A262" s="262" t="s">
        <v>1151</v>
      </c>
      <c r="B262" s="264" t="s">
        <v>572</v>
      </c>
    </row>
    <row r="263" spans="1:2" ht="18" customHeight="1">
      <c r="A263" s="262" t="s">
        <v>1152</v>
      </c>
      <c r="B263" s="264" t="s">
        <v>573</v>
      </c>
    </row>
    <row r="264" spans="1:2" ht="18" customHeight="1">
      <c r="A264" s="262" t="s">
        <v>1153</v>
      </c>
      <c r="B264" s="264" t="s">
        <v>574</v>
      </c>
    </row>
    <row r="265" spans="1:2" ht="18" customHeight="1">
      <c r="A265" s="262" t="s">
        <v>1154</v>
      </c>
      <c r="B265" s="264" t="s">
        <v>575</v>
      </c>
    </row>
    <row r="266" spans="1:2" ht="18" customHeight="1">
      <c r="A266" s="262" t="s">
        <v>1155</v>
      </c>
      <c r="B266" s="264" t="s">
        <v>576</v>
      </c>
    </row>
    <row r="267" spans="1:2" ht="18" customHeight="1">
      <c r="A267" s="262" t="s">
        <v>1156</v>
      </c>
      <c r="B267" s="264" t="s">
        <v>577</v>
      </c>
    </row>
    <row r="268" spans="1:2" ht="18" customHeight="1">
      <c r="A268" s="262" t="s">
        <v>1157</v>
      </c>
      <c r="B268" s="264" t="s">
        <v>578</v>
      </c>
    </row>
    <row r="269" spans="1:2" ht="18" customHeight="1">
      <c r="A269" s="262" t="s">
        <v>1158</v>
      </c>
      <c r="B269" s="264" t="s">
        <v>1159</v>
      </c>
    </row>
    <row r="270" spans="1:2" ht="18" customHeight="1">
      <c r="A270" s="260"/>
      <c r="B270" s="268" t="s">
        <v>1160</v>
      </c>
    </row>
    <row r="271" spans="1:2" ht="18" customHeight="1">
      <c r="A271" s="262" t="s">
        <v>1161</v>
      </c>
      <c r="B271" s="263" t="s">
        <v>579</v>
      </c>
    </row>
    <row r="272" spans="1:2" ht="18" customHeight="1">
      <c r="A272" s="262" t="s">
        <v>1162</v>
      </c>
      <c r="B272" s="263" t="s">
        <v>580</v>
      </c>
    </row>
    <row r="273" spans="1:2" ht="18" customHeight="1">
      <c r="A273" s="262" t="s">
        <v>1163</v>
      </c>
      <c r="B273" s="263" t="s">
        <v>581</v>
      </c>
    </row>
    <row r="274" spans="1:2" ht="18" customHeight="1">
      <c r="A274" s="262" t="s">
        <v>1164</v>
      </c>
      <c r="B274" s="270" t="s">
        <v>1165</v>
      </c>
    </row>
    <row r="275" spans="1:2" ht="18" customHeight="1">
      <c r="A275" s="262" t="s">
        <v>1166</v>
      </c>
      <c r="B275" s="263" t="s">
        <v>1167</v>
      </c>
    </row>
    <row r="276" spans="1:2" ht="18" customHeight="1">
      <c r="A276" s="260"/>
      <c r="B276" s="261" t="s">
        <v>1168</v>
      </c>
    </row>
    <row r="277" spans="1:2" ht="18" customHeight="1">
      <c r="A277" s="271"/>
      <c r="B277" s="261" t="s">
        <v>1169</v>
      </c>
    </row>
    <row r="278" spans="1:2" ht="18" customHeight="1">
      <c r="A278" s="262" t="s">
        <v>1170</v>
      </c>
      <c r="B278" s="263" t="s">
        <v>1171</v>
      </c>
    </row>
    <row r="279" spans="1:2" ht="18" customHeight="1">
      <c r="A279" s="262" t="s">
        <v>1172</v>
      </c>
      <c r="B279" s="263" t="s">
        <v>1173</v>
      </c>
    </row>
    <row r="280" spans="1:2" ht="18" customHeight="1">
      <c r="A280" s="262" t="s">
        <v>1174</v>
      </c>
      <c r="B280" s="263" t="s">
        <v>1175</v>
      </c>
    </row>
    <row r="281" spans="1:2" ht="18" customHeight="1">
      <c r="A281" s="262" t="s">
        <v>1176</v>
      </c>
      <c r="B281" s="263" t="s">
        <v>1177</v>
      </c>
    </row>
    <row r="282" spans="1:2" ht="18" customHeight="1">
      <c r="A282" s="262" t="s">
        <v>1178</v>
      </c>
      <c r="B282" s="263" t="s">
        <v>1179</v>
      </c>
    </row>
    <row r="283" spans="1:2" ht="18" customHeight="1">
      <c r="A283" s="262" t="s">
        <v>1180</v>
      </c>
      <c r="B283" s="263" t="s">
        <v>1181</v>
      </c>
    </row>
    <row r="284" spans="1:2" ht="18" customHeight="1">
      <c r="A284" s="262" t="s">
        <v>1182</v>
      </c>
      <c r="B284" s="263" t="s">
        <v>1183</v>
      </c>
    </row>
    <row r="285" spans="1:2" ht="18" customHeight="1">
      <c r="A285" s="262" t="s">
        <v>1184</v>
      </c>
      <c r="B285" s="263" t="s">
        <v>1185</v>
      </c>
    </row>
    <row r="286" spans="1:2" ht="27.75" customHeight="1">
      <c r="A286" s="262" t="s">
        <v>1186</v>
      </c>
      <c r="B286" s="263" t="s">
        <v>1187</v>
      </c>
    </row>
    <row r="287" spans="1:2" ht="18" customHeight="1">
      <c r="A287" s="262" t="s">
        <v>1188</v>
      </c>
      <c r="B287" s="263" t="s">
        <v>1189</v>
      </c>
    </row>
    <row r="288" spans="1:2" ht="18" customHeight="1">
      <c r="A288" s="262" t="s">
        <v>1190</v>
      </c>
      <c r="B288" s="263" t="s">
        <v>1191</v>
      </c>
    </row>
    <row r="289" spans="1:2" ht="18" customHeight="1">
      <c r="A289" s="262" t="s">
        <v>1192</v>
      </c>
      <c r="B289" s="263" t="s">
        <v>1193</v>
      </c>
    </row>
    <row r="290" spans="1:2" ht="18" customHeight="1">
      <c r="A290" s="262" t="s">
        <v>1194</v>
      </c>
      <c r="B290" s="263" t="s">
        <v>1195</v>
      </c>
    </row>
    <row r="291" spans="1:2" ht="18" customHeight="1">
      <c r="A291" s="271"/>
      <c r="B291" s="261" t="s">
        <v>1196</v>
      </c>
    </row>
    <row r="292" spans="1:2" ht="18" customHeight="1">
      <c r="A292" s="262" t="s">
        <v>1197</v>
      </c>
      <c r="B292" s="263" t="s">
        <v>600</v>
      </c>
    </row>
    <row r="293" spans="1:2" ht="18" customHeight="1">
      <c r="A293" s="262" t="s">
        <v>1198</v>
      </c>
      <c r="B293" s="263" t="s">
        <v>601</v>
      </c>
    </row>
    <row r="294" spans="1:2" ht="18" customHeight="1">
      <c r="A294" s="262" t="s">
        <v>1199</v>
      </c>
      <c r="B294" s="263" t="s">
        <v>1200</v>
      </c>
    </row>
    <row r="295" spans="1:2" ht="18" customHeight="1">
      <c r="A295" s="262" t="s">
        <v>1201</v>
      </c>
      <c r="B295" s="263" t="s">
        <v>1202</v>
      </c>
    </row>
    <row r="296" spans="1:2" ht="18" customHeight="1">
      <c r="A296" s="262" t="s">
        <v>1203</v>
      </c>
      <c r="B296" s="263" t="s">
        <v>1204</v>
      </c>
    </row>
    <row r="297" spans="1:2" ht="18" customHeight="1">
      <c r="A297" s="262" t="s">
        <v>1205</v>
      </c>
      <c r="B297" s="263" t="s">
        <v>1206</v>
      </c>
    </row>
    <row r="298" spans="1:2" ht="18" customHeight="1">
      <c r="A298" s="262" t="s">
        <v>1207</v>
      </c>
      <c r="B298" s="263" t="s">
        <v>1208</v>
      </c>
    </row>
    <row r="299" spans="1:2" ht="18" customHeight="1">
      <c r="A299" s="262" t="s">
        <v>1209</v>
      </c>
      <c r="B299" s="263" t="s">
        <v>1210</v>
      </c>
    </row>
    <row r="300" spans="1:2" ht="18" customHeight="1">
      <c r="A300" s="262" t="s">
        <v>1211</v>
      </c>
      <c r="B300" s="263" t="s">
        <v>1212</v>
      </c>
    </row>
    <row r="301" spans="1:2" ht="18" customHeight="1">
      <c r="A301" s="262" t="s">
        <v>1213</v>
      </c>
      <c r="B301" s="263" t="s">
        <v>1214</v>
      </c>
    </row>
    <row r="302" spans="1:2" ht="18" customHeight="1">
      <c r="A302" s="262" t="s">
        <v>1215</v>
      </c>
      <c r="B302" s="263" t="s">
        <v>1216</v>
      </c>
    </row>
    <row r="303" spans="1:2" ht="18" customHeight="1">
      <c r="A303" s="262" t="s">
        <v>1217</v>
      </c>
      <c r="B303" s="263" t="s">
        <v>1218</v>
      </c>
    </row>
    <row r="304" spans="1:2" ht="18" customHeight="1">
      <c r="A304" s="262" t="s">
        <v>1219</v>
      </c>
      <c r="B304" s="263" t="s">
        <v>1220</v>
      </c>
    </row>
    <row r="305" spans="1:3" ht="18" customHeight="1">
      <c r="A305" s="262" t="s">
        <v>1221</v>
      </c>
      <c r="B305" s="263" t="s">
        <v>611</v>
      </c>
    </row>
    <row r="306" spans="1:3" ht="18" customHeight="1">
      <c r="A306" s="271"/>
      <c r="B306" s="261" t="s">
        <v>1222</v>
      </c>
    </row>
    <row r="307" spans="1:3" ht="18" customHeight="1">
      <c r="A307" s="262" t="s">
        <v>1223</v>
      </c>
      <c r="B307" s="263" t="s">
        <v>604</v>
      </c>
    </row>
    <row r="308" spans="1:3" ht="18" customHeight="1">
      <c r="A308" s="262" t="s">
        <v>1224</v>
      </c>
      <c r="B308" s="263" t="s">
        <v>1225</v>
      </c>
    </row>
    <row r="309" spans="1:3" ht="18" customHeight="1">
      <c r="A309" s="262" t="s">
        <v>1226</v>
      </c>
      <c r="B309" s="263" t="s">
        <v>1227</v>
      </c>
    </row>
    <row r="310" spans="1:3" ht="18" customHeight="1">
      <c r="A310" s="262" t="s">
        <v>1228</v>
      </c>
      <c r="B310" s="263" t="s">
        <v>1506</v>
      </c>
      <c r="C310" s="50"/>
    </row>
    <row r="311" spans="1:3" ht="18" customHeight="1">
      <c r="A311" s="262" t="s">
        <v>1229</v>
      </c>
      <c r="B311" s="263" t="s">
        <v>1230</v>
      </c>
    </row>
    <row r="312" spans="1:3" ht="18" customHeight="1">
      <c r="A312" s="262" t="s">
        <v>1231</v>
      </c>
      <c r="B312" s="263" t="s">
        <v>603</v>
      </c>
    </row>
    <row r="313" spans="1:3" ht="18" customHeight="1">
      <c r="A313" s="271"/>
      <c r="B313" s="261" t="s">
        <v>1232</v>
      </c>
    </row>
    <row r="314" spans="1:3" ht="18" customHeight="1">
      <c r="A314" s="262" t="s">
        <v>1233</v>
      </c>
      <c r="B314" s="263" t="s">
        <v>1234</v>
      </c>
    </row>
    <row r="315" spans="1:3" ht="18" customHeight="1">
      <c r="A315" s="262" t="s">
        <v>1235</v>
      </c>
      <c r="B315" s="263" t="s">
        <v>1236</v>
      </c>
    </row>
    <row r="316" spans="1:3" ht="18" customHeight="1">
      <c r="A316" s="262" t="s">
        <v>1237</v>
      </c>
      <c r="B316" s="263" t="s">
        <v>1238</v>
      </c>
    </row>
    <row r="317" spans="1:3" ht="18" customHeight="1">
      <c r="A317" s="262" t="s">
        <v>1239</v>
      </c>
      <c r="B317" s="263" t="s">
        <v>1240</v>
      </c>
    </row>
    <row r="318" spans="1:3" ht="18" customHeight="1">
      <c r="A318" s="262" t="s">
        <v>1241</v>
      </c>
      <c r="B318" s="263" t="s">
        <v>1242</v>
      </c>
    </row>
    <row r="319" spans="1:3" ht="18" customHeight="1">
      <c r="A319" s="271"/>
      <c r="B319" s="261" t="s">
        <v>1243</v>
      </c>
    </row>
    <row r="320" spans="1:3" ht="18" customHeight="1">
      <c r="A320" s="262" t="s">
        <v>1244</v>
      </c>
      <c r="B320" s="263" t="s">
        <v>605</v>
      </c>
    </row>
    <row r="321" spans="1:2" ht="18" customHeight="1">
      <c r="A321" s="262" t="s">
        <v>1245</v>
      </c>
      <c r="B321" s="263" t="s">
        <v>1246</v>
      </c>
    </row>
    <row r="322" spans="1:2" ht="21" customHeight="1">
      <c r="A322" s="262" t="s">
        <v>1247</v>
      </c>
      <c r="B322" s="263" t="s">
        <v>1248</v>
      </c>
    </row>
    <row r="323" spans="1:2" ht="18" customHeight="1">
      <c r="A323" s="262" t="s">
        <v>1249</v>
      </c>
      <c r="B323" s="263" t="s">
        <v>1250</v>
      </c>
    </row>
    <row r="324" spans="1:2" ht="18" customHeight="1">
      <c r="A324" s="262" t="s">
        <v>1251</v>
      </c>
      <c r="B324" s="263" t="s">
        <v>610</v>
      </c>
    </row>
    <row r="325" spans="1:2" ht="18" customHeight="1">
      <c r="A325" s="271"/>
      <c r="B325" s="261" t="s">
        <v>1252</v>
      </c>
    </row>
    <row r="326" spans="1:2" ht="18" customHeight="1">
      <c r="A326" s="262" t="s">
        <v>1253</v>
      </c>
      <c r="B326" s="263" t="s">
        <v>602</v>
      </c>
    </row>
    <row r="327" spans="1:2" ht="18" customHeight="1">
      <c r="A327" s="262" t="s">
        <v>1254</v>
      </c>
      <c r="B327" s="263" t="s">
        <v>608</v>
      </c>
    </row>
    <row r="328" spans="1:2" ht="18" customHeight="1">
      <c r="A328" s="262" t="s">
        <v>1255</v>
      </c>
      <c r="B328" s="263" t="s">
        <v>1256</v>
      </c>
    </row>
    <row r="329" spans="1:2" ht="18" customHeight="1">
      <c r="A329" s="262" t="s">
        <v>1257</v>
      </c>
      <c r="B329" s="263" t="s">
        <v>1258</v>
      </c>
    </row>
    <row r="330" spans="1:2" ht="18" customHeight="1">
      <c r="A330" s="262" t="s">
        <v>1259</v>
      </c>
      <c r="B330" s="263" t="s">
        <v>380</v>
      </c>
    </row>
    <row r="331" spans="1:2" ht="18" customHeight="1">
      <c r="A331" s="271"/>
      <c r="B331" s="261" t="s">
        <v>1260</v>
      </c>
    </row>
    <row r="332" spans="1:2" ht="18" customHeight="1">
      <c r="A332" s="262" t="s">
        <v>1261</v>
      </c>
      <c r="B332" s="263" t="s">
        <v>1262</v>
      </c>
    </row>
    <row r="333" spans="1:2" ht="18" customHeight="1">
      <c r="A333" s="262" t="s">
        <v>1263</v>
      </c>
      <c r="B333" s="263" t="s">
        <v>1264</v>
      </c>
    </row>
    <row r="334" spans="1:2" ht="18" customHeight="1">
      <c r="A334" s="262" t="s">
        <v>1265</v>
      </c>
      <c r="B334" s="263" t="s">
        <v>582</v>
      </c>
    </row>
    <row r="335" spans="1:2" ht="18" customHeight="1">
      <c r="A335" s="262" t="s">
        <v>1266</v>
      </c>
      <c r="B335" s="263" t="s">
        <v>583</v>
      </c>
    </row>
    <row r="336" spans="1:2" ht="18" customHeight="1">
      <c r="A336" s="262" t="s">
        <v>1267</v>
      </c>
      <c r="B336" s="263" t="s">
        <v>584</v>
      </c>
    </row>
    <row r="337" spans="1:2" ht="18" customHeight="1">
      <c r="A337" s="262" t="s">
        <v>1268</v>
      </c>
      <c r="B337" s="263" t="s">
        <v>585</v>
      </c>
    </row>
    <row r="338" spans="1:2" ht="18" customHeight="1">
      <c r="A338" s="262" t="s">
        <v>1269</v>
      </c>
      <c r="B338" s="263" t="s">
        <v>586</v>
      </c>
    </row>
    <row r="339" spans="1:2" ht="18" customHeight="1">
      <c r="A339" s="262" t="s">
        <v>1270</v>
      </c>
      <c r="B339" s="263" t="s">
        <v>587</v>
      </c>
    </row>
    <row r="340" spans="1:2" ht="18" customHeight="1">
      <c r="A340" s="262" t="s">
        <v>1271</v>
      </c>
      <c r="B340" s="263" t="s">
        <v>588</v>
      </c>
    </row>
    <row r="341" spans="1:2" ht="18" customHeight="1">
      <c r="A341" s="262" t="s">
        <v>1272</v>
      </c>
      <c r="B341" s="263" t="s">
        <v>589</v>
      </c>
    </row>
    <row r="342" spans="1:2" ht="18" customHeight="1">
      <c r="A342" s="262" t="s">
        <v>1273</v>
      </c>
      <c r="B342" s="263" t="s">
        <v>1274</v>
      </c>
    </row>
    <row r="343" spans="1:2" ht="18" customHeight="1">
      <c r="A343" s="262" t="s">
        <v>1275</v>
      </c>
      <c r="B343" s="263" t="s">
        <v>590</v>
      </c>
    </row>
    <row r="344" spans="1:2" ht="18" customHeight="1">
      <c r="A344" s="262" t="s">
        <v>1276</v>
      </c>
      <c r="B344" s="263" t="s">
        <v>591</v>
      </c>
    </row>
    <row r="345" spans="1:2" ht="18" customHeight="1">
      <c r="A345" s="262" t="s">
        <v>1277</v>
      </c>
      <c r="B345" s="263" t="s">
        <v>1278</v>
      </c>
    </row>
    <row r="346" spans="1:2" ht="18" customHeight="1">
      <c r="A346" s="262" t="s">
        <v>1279</v>
      </c>
      <c r="B346" s="263" t="s">
        <v>598</v>
      </c>
    </row>
    <row r="347" spans="1:2" ht="18" customHeight="1">
      <c r="A347" s="262" t="s">
        <v>1280</v>
      </c>
      <c r="B347" s="263" t="s">
        <v>1281</v>
      </c>
    </row>
    <row r="348" spans="1:2" ht="18" customHeight="1">
      <c r="A348" s="262" t="s">
        <v>1282</v>
      </c>
      <c r="B348" s="263" t="s">
        <v>612</v>
      </c>
    </row>
    <row r="349" spans="1:2" ht="18" customHeight="1">
      <c r="A349" s="262" t="s">
        <v>1283</v>
      </c>
      <c r="B349" s="263" t="s">
        <v>1284</v>
      </c>
    </row>
    <row r="350" spans="1:2" ht="18" customHeight="1">
      <c r="A350" s="262" t="s">
        <v>1285</v>
      </c>
      <c r="B350" s="263" t="s">
        <v>599</v>
      </c>
    </row>
    <row r="351" spans="1:2" ht="18" customHeight="1">
      <c r="A351" s="262" t="s">
        <v>1286</v>
      </c>
      <c r="B351" s="263" t="s">
        <v>1287</v>
      </c>
    </row>
    <row r="352" spans="1:2" ht="18" customHeight="1">
      <c r="A352" s="262" t="s">
        <v>1288</v>
      </c>
      <c r="B352" s="263" t="s">
        <v>1289</v>
      </c>
    </row>
    <row r="353" spans="1:2" ht="18" customHeight="1">
      <c r="A353" s="262" t="s">
        <v>1290</v>
      </c>
      <c r="B353" s="263" t="s">
        <v>1291</v>
      </c>
    </row>
    <row r="354" spans="1:2" ht="18" customHeight="1">
      <c r="A354" s="262" t="s">
        <v>1292</v>
      </c>
      <c r="B354" s="263" t="s">
        <v>595</v>
      </c>
    </row>
    <row r="355" spans="1:2" ht="18" customHeight="1">
      <c r="A355" s="262" t="s">
        <v>1293</v>
      </c>
      <c r="B355" s="263" t="s">
        <v>596</v>
      </c>
    </row>
    <row r="356" spans="1:2" ht="18" customHeight="1">
      <c r="A356" s="262" t="s">
        <v>1294</v>
      </c>
      <c r="B356" s="263" t="s">
        <v>592</v>
      </c>
    </row>
    <row r="357" spans="1:2" ht="18" customHeight="1">
      <c r="A357" s="262" t="s">
        <v>1295</v>
      </c>
      <c r="B357" s="263" t="s">
        <v>593</v>
      </c>
    </row>
    <row r="358" spans="1:2" ht="18" customHeight="1">
      <c r="A358" s="262" t="s">
        <v>1296</v>
      </c>
      <c r="B358" s="263" t="s">
        <v>594</v>
      </c>
    </row>
    <row r="359" spans="1:2" ht="18" customHeight="1">
      <c r="A359" s="262" t="s">
        <v>1297</v>
      </c>
      <c r="B359" s="263" t="s">
        <v>1298</v>
      </c>
    </row>
    <row r="360" spans="1:2" ht="18" customHeight="1">
      <c r="A360" s="262" t="s">
        <v>1299</v>
      </c>
      <c r="B360" s="263" t="s">
        <v>607</v>
      </c>
    </row>
    <row r="361" spans="1:2" ht="18" customHeight="1">
      <c r="A361" s="262" t="s">
        <v>1300</v>
      </c>
      <c r="B361" s="263" t="s">
        <v>597</v>
      </c>
    </row>
    <row r="362" spans="1:2" ht="18" customHeight="1">
      <c r="A362" s="262" t="s">
        <v>1301</v>
      </c>
      <c r="B362" s="263" t="s">
        <v>1302</v>
      </c>
    </row>
    <row r="363" spans="1:2" ht="18" customHeight="1">
      <c r="A363" s="262" t="s">
        <v>1303</v>
      </c>
      <c r="B363" s="263" t="s">
        <v>606</v>
      </c>
    </row>
    <row r="364" spans="1:2" ht="18" customHeight="1">
      <c r="A364" s="262" t="s">
        <v>1304</v>
      </c>
      <c r="B364" s="263" t="s">
        <v>1305</v>
      </c>
    </row>
    <row r="365" spans="1:2" ht="18" customHeight="1">
      <c r="A365" s="262" t="s">
        <v>1306</v>
      </c>
      <c r="B365" s="263" t="s">
        <v>1307</v>
      </c>
    </row>
    <row r="366" spans="1:2" ht="18" customHeight="1">
      <c r="A366" s="262" t="s">
        <v>1308</v>
      </c>
      <c r="B366" s="263" t="s">
        <v>1309</v>
      </c>
    </row>
    <row r="367" spans="1:2" ht="18" customHeight="1">
      <c r="A367" s="262" t="s">
        <v>1310</v>
      </c>
      <c r="B367" s="263" t="s">
        <v>1311</v>
      </c>
    </row>
    <row r="368" spans="1:2" ht="18" customHeight="1">
      <c r="A368" s="260"/>
      <c r="B368" s="261" t="s">
        <v>1312</v>
      </c>
    </row>
    <row r="369" spans="1:2" ht="18" customHeight="1">
      <c r="A369" s="262" t="s">
        <v>1313</v>
      </c>
      <c r="B369" s="265" t="s">
        <v>674</v>
      </c>
    </row>
    <row r="370" spans="1:2" ht="18" customHeight="1">
      <c r="A370" s="262" t="s">
        <v>1314</v>
      </c>
      <c r="B370" s="265" t="s">
        <v>1315</v>
      </c>
    </row>
    <row r="371" spans="1:2" ht="18" customHeight="1">
      <c r="A371" s="262" t="s">
        <v>1316</v>
      </c>
      <c r="B371" s="263" t="s">
        <v>673</v>
      </c>
    </row>
    <row r="372" spans="1:2" ht="18" customHeight="1">
      <c r="A372" s="262" t="s">
        <v>1317</v>
      </c>
      <c r="B372" s="263" t="s">
        <v>1318</v>
      </c>
    </row>
    <row r="373" spans="1:2" ht="18" customHeight="1">
      <c r="A373" s="262" t="s">
        <v>1319</v>
      </c>
      <c r="B373" s="263" t="s">
        <v>1320</v>
      </c>
    </row>
    <row r="374" spans="1:2" ht="18" customHeight="1">
      <c r="A374" s="262" t="s">
        <v>1321</v>
      </c>
      <c r="B374" s="263" t="s">
        <v>1322</v>
      </c>
    </row>
    <row r="375" spans="1:2" ht="18" customHeight="1">
      <c r="A375" s="262" t="s">
        <v>1323</v>
      </c>
      <c r="B375" s="263" t="s">
        <v>672</v>
      </c>
    </row>
    <row r="376" spans="1:2" ht="18" customHeight="1">
      <c r="A376" s="262" t="s">
        <v>1324</v>
      </c>
      <c r="B376" s="263" t="s">
        <v>671</v>
      </c>
    </row>
    <row r="377" spans="1:2" ht="18" customHeight="1">
      <c r="A377" s="262" t="s">
        <v>1325</v>
      </c>
      <c r="B377" s="263" t="s">
        <v>1326</v>
      </c>
    </row>
    <row r="378" spans="1:2" ht="18" customHeight="1">
      <c r="A378" s="262" t="s">
        <v>1327</v>
      </c>
      <c r="B378" s="263" t="s">
        <v>678</v>
      </c>
    </row>
    <row r="379" spans="1:2" ht="18" customHeight="1">
      <c r="A379" s="262" t="s">
        <v>1328</v>
      </c>
      <c r="B379" s="263" t="s">
        <v>683</v>
      </c>
    </row>
    <row r="380" spans="1:2" ht="18" customHeight="1">
      <c r="A380" s="262" t="s">
        <v>1329</v>
      </c>
      <c r="B380" s="263" t="s">
        <v>682</v>
      </c>
    </row>
    <row r="381" spans="1:2" ht="18" customHeight="1">
      <c r="A381" s="262" t="s">
        <v>1330</v>
      </c>
      <c r="B381" s="263" t="s">
        <v>686</v>
      </c>
    </row>
    <row r="382" spans="1:2" ht="18" customHeight="1">
      <c r="A382" s="262" t="s">
        <v>1331</v>
      </c>
      <c r="B382" s="263" t="s">
        <v>1332</v>
      </c>
    </row>
    <row r="383" spans="1:2" ht="18" customHeight="1">
      <c r="A383" s="262" t="s">
        <v>1333</v>
      </c>
      <c r="B383" s="263" t="s">
        <v>1334</v>
      </c>
    </row>
    <row r="384" spans="1:2" ht="18" customHeight="1">
      <c r="A384" s="262" t="s">
        <v>1335</v>
      </c>
      <c r="B384" s="263" t="s">
        <v>1336</v>
      </c>
    </row>
    <row r="385" spans="1:2" ht="18" customHeight="1">
      <c r="A385" s="262" t="s">
        <v>1337</v>
      </c>
      <c r="B385" s="263" t="s">
        <v>1338</v>
      </c>
    </row>
    <row r="386" spans="1:2" ht="18" customHeight="1">
      <c r="A386" s="262" t="s">
        <v>1339</v>
      </c>
      <c r="B386" s="263" t="s">
        <v>1340</v>
      </c>
    </row>
    <row r="387" spans="1:2" ht="18" customHeight="1">
      <c r="A387" s="262" t="s">
        <v>1341</v>
      </c>
      <c r="B387" s="263" t="s">
        <v>694</v>
      </c>
    </row>
    <row r="388" spans="1:2" ht="18" customHeight="1">
      <c r="A388" s="262" t="s">
        <v>1342</v>
      </c>
      <c r="B388" s="263" t="s">
        <v>1343</v>
      </c>
    </row>
    <row r="389" spans="1:2" ht="18" customHeight="1">
      <c r="A389" s="262" t="s">
        <v>1344</v>
      </c>
      <c r="B389" s="263" t="s">
        <v>666</v>
      </c>
    </row>
    <row r="390" spans="1:2" ht="18" customHeight="1">
      <c r="A390" s="262" t="s">
        <v>1345</v>
      </c>
      <c r="B390" s="263" t="s">
        <v>667</v>
      </c>
    </row>
    <row r="391" spans="1:2" ht="18" customHeight="1">
      <c r="A391" s="262" t="s">
        <v>1346</v>
      </c>
      <c r="B391" s="263" t="s">
        <v>668</v>
      </c>
    </row>
    <row r="392" spans="1:2" ht="18" customHeight="1">
      <c r="A392" s="262" t="s">
        <v>1347</v>
      </c>
      <c r="B392" s="263" t="s">
        <v>669</v>
      </c>
    </row>
    <row r="393" spans="1:2" ht="18" customHeight="1">
      <c r="A393" s="262" t="s">
        <v>1348</v>
      </c>
      <c r="B393" s="263" t="s">
        <v>670</v>
      </c>
    </row>
    <row r="394" spans="1:2" ht="18" customHeight="1">
      <c r="A394" s="262" t="s">
        <v>1349</v>
      </c>
      <c r="B394" s="263" t="s">
        <v>675</v>
      </c>
    </row>
    <row r="395" spans="1:2" ht="18" customHeight="1">
      <c r="A395" s="262" t="s">
        <v>1350</v>
      </c>
      <c r="B395" s="263" t="s">
        <v>676</v>
      </c>
    </row>
    <row r="396" spans="1:2" ht="18" customHeight="1">
      <c r="A396" s="262" t="s">
        <v>1351</v>
      </c>
      <c r="B396" s="263" t="s">
        <v>677</v>
      </c>
    </row>
    <row r="397" spans="1:2" ht="18" customHeight="1">
      <c r="A397" s="262" t="s">
        <v>1352</v>
      </c>
      <c r="B397" s="263" t="s">
        <v>679</v>
      </c>
    </row>
    <row r="398" spans="1:2" ht="18" customHeight="1">
      <c r="A398" s="262" t="s">
        <v>1353</v>
      </c>
      <c r="B398" s="263" t="s">
        <v>680</v>
      </c>
    </row>
    <row r="399" spans="1:2" ht="18" customHeight="1">
      <c r="A399" s="262" t="s">
        <v>1354</v>
      </c>
      <c r="B399" s="263" t="s">
        <v>681</v>
      </c>
    </row>
    <row r="400" spans="1:2" ht="18" customHeight="1">
      <c r="A400" s="262" t="s">
        <v>1355</v>
      </c>
      <c r="B400" s="263" t="s">
        <v>684</v>
      </c>
    </row>
    <row r="401" spans="1:2" ht="18" customHeight="1">
      <c r="A401" s="262" t="s">
        <v>1356</v>
      </c>
      <c r="B401" s="263" t="s">
        <v>685</v>
      </c>
    </row>
    <row r="402" spans="1:2" ht="18" customHeight="1">
      <c r="A402" s="262" t="s">
        <v>1357</v>
      </c>
      <c r="B402" s="263" t="s">
        <v>691</v>
      </c>
    </row>
    <row r="403" spans="1:2" ht="18" customHeight="1">
      <c r="A403" s="262" t="s">
        <v>1358</v>
      </c>
      <c r="B403" s="263" t="s">
        <v>692</v>
      </c>
    </row>
    <row r="404" spans="1:2" ht="18" customHeight="1">
      <c r="A404" s="262" t="s">
        <v>1359</v>
      </c>
      <c r="B404" s="263" t="s">
        <v>693</v>
      </c>
    </row>
    <row r="405" spans="1:2" ht="18" customHeight="1">
      <c r="A405" s="271" t="s">
        <v>1360</v>
      </c>
      <c r="B405" s="266" t="s">
        <v>1361</v>
      </c>
    </row>
    <row r="406" spans="1:2" ht="18" customHeight="1">
      <c r="A406" s="262" t="s">
        <v>1362</v>
      </c>
      <c r="B406" s="263" t="s">
        <v>687</v>
      </c>
    </row>
    <row r="407" spans="1:2" ht="18" customHeight="1">
      <c r="A407" s="262" t="s">
        <v>1363</v>
      </c>
      <c r="B407" s="263" t="s">
        <v>1364</v>
      </c>
    </row>
    <row r="408" spans="1:2" ht="18" customHeight="1">
      <c r="A408" s="262" t="s">
        <v>1365</v>
      </c>
      <c r="B408" s="263" t="s">
        <v>1366</v>
      </c>
    </row>
    <row r="409" spans="1:2" ht="18" customHeight="1">
      <c r="A409" s="262" t="s">
        <v>1367</v>
      </c>
      <c r="B409" s="263" t="s">
        <v>690</v>
      </c>
    </row>
    <row r="410" spans="1:2" ht="18" customHeight="1">
      <c r="A410" s="262" t="s">
        <v>1368</v>
      </c>
      <c r="B410" s="265" t="s">
        <v>1369</v>
      </c>
    </row>
    <row r="411" spans="1:2" ht="18" customHeight="1">
      <c r="A411" s="262" t="s">
        <v>1370</v>
      </c>
      <c r="B411" s="264" t="s">
        <v>688</v>
      </c>
    </row>
    <row r="412" spans="1:2" ht="18" customHeight="1">
      <c r="A412" s="262" t="s">
        <v>1371</v>
      </c>
      <c r="B412" s="264" t="s">
        <v>689</v>
      </c>
    </row>
    <row r="413" spans="1:2" ht="18" customHeight="1">
      <c r="A413" s="262" t="s">
        <v>1372</v>
      </c>
      <c r="B413" s="264" t="s">
        <v>1373</v>
      </c>
    </row>
    <row r="414" spans="1:2" ht="18" customHeight="1">
      <c r="A414" s="262" t="s">
        <v>1374</v>
      </c>
      <c r="B414" s="264" t="s">
        <v>1375</v>
      </c>
    </row>
    <row r="415" spans="1:2" ht="18" customHeight="1">
      <c r="A415" s="262" t="s">
        <v>1376</v>
      </c>
      <c r="B415" s="264" t="s">
        <v>1377</v>
      </c>
    </row>
    <row r="416" spans="1:2" ht="18" customHeight="1">
      <c r="A416" s="262" t="s">
        <v>1378</v>
      </c>
      <c r="B416" s="263" t="s">
        <v>1379</v>
      </c>
    </row>
    <row r="417" spans="1:2" ht="18" customHeight="1">
      <c r="A417" s="260"/>
      <c r="B417" s="261" t="s">
        <v>1380</v>
      </c>
    </row>
    <row r="418" spans="1:2" ht="18" customHeight="1">
      <c r="A418" s="262" t="s">
        <v>1381</v>
      </c>
      <c r="B418" s="264" t="s">
        <v>615</v>
      </c>
    </row>
    <row r="419" spans="1:2" ht="18" customHeight="1">
      <c r="A419" s="262" t="s">
        <v>1382</v>
      </c>
      <c r="B419" s="264" t="s">
        <v>616</v>
      </c>
    </row>
    <row r="420" spans="1:2" ht="18" customHeight="1">
      <c r="A420" s="262" t="s">
        <v>1383</v>
      </c>
      <c r="B420" s="264" t="s">
        <v>617</v>
      </c>
    </row>
    <row r="421" spans="1:2" ht="18" customHeight="1">
      <c r="A421" s="262" t="s">
        <v>1384</v>
      </c>
      <c r="B421" s="264" t="s">
        <v>618</v>
      </c>
    </row>
    <row r="422" spans="1:2" ht="18" customHeight="1">
      <c r="A422" s="262" t="s">
        <v>1385</v>
      </c>
      <c r="B422" s="264" t="s">
        <v>619</v>
      </c>
    </row>
    <row r="423" spans="1:2" ht="18" customHeight="1">
      <c r="A423" s="262" t="s">
        <v>1386</v>
      </c>
      <c r="B423" s="264" t="s">
        <v>1387</v>
      </c>
    </row>
    <row r="424" spans="1:2" ht="18" customHeight="1">
      <c r="A424" s="262" t="s">
        <v>1388</v>
      </c>
      <c r="B424" s="264" t="s">
        <v>620</v>
      </c>
    </row>
    <row r="425" spans="1:2" ht="18" customHeight="1">
      <c r="A425" s="262" t="s">
        <v>1389</v>
      </c>
      <c r="B425" s="264" t="s">
        <v>621</v>
      </c>
    </row>
    <row r="426" spans="1:2" ht="18" customHeight="1">
      <c r="A426" s="262" t="s">
        <v>1390</v>
      </c>
      <c r="B426" s="264" t="s">
        <v>622</v>
      </c>
    </row>
    <row r="427" spans="1:2" ht="18" customHeight="1">
      <c r="A427" s="262" t="s">
        <v>1391</v>
      </c>
      <c r="B427" s="264" t="s">
        <v>623</v>
      </c>
    </row>
    <row r="428" spans="1:2" ht="18" customHeight="1">
      <c r="A428" s="262" t="s">
        <v>1392</v>
      </c>
      <c r="B428" s="264" t="s">
        <v>624</v>
      </c>
    </row>
    <row r="429" spans="1:2" ht="18" customHeight="1">
      <c r="A429" s="262" t="s">
        <v>1393</v>
      </c>
      <c r="B429" s="264" t="s">
        <v>625</v>
      </c>
    </row>
    <row r="430" spans="1:2" ht="18" customHeight="1">
      <c r="A430" s="262" t="s">
        <v>1394</v>
      </c>
      <c r="B430" s="264" t="s">
        <v>626</v>
      </c>
    </row>
    <row r="431" spans="1:2" ht="18" customHeight="1">
      <c r="A431" s="262" t="s">
        <v>1395</v>
      </c>
      <c r="B431" s="264" t="s">
        <v>627</v>
      </c>
    </row>
    <row r="432" spans="1:2" ht="18" customHeight="1">
      <c r="A432" s="262" t="s">
        <v>1396</v>
      </c>
      <c r="B432" s="264" t="s">
        <v>628</v>
      </c>
    </row>
    <row r="433" spans="1:2" ht="18" customHeight="1">
      <c r="A433" s="262" t="s">
        <v>1397</v>
      </c>
      <c r="B433" s="264" t="s">
        <v>629</v>
      </c>
    </row>
    <row r="434" spans="1:2" ht="18" customHeight="1">
      <c r="A434" s="262" t="s">
        <v>1398</v>
      </c>
      <c r="B434" s="264" t="s">
        <v>630</v>
      </c>
    </row>
    <row r="435" spans="1:2" ht="18" customHeight="1">
      <c r="A435" s="262" t="s">
        <v>1399</v>
      </c>
      <c r="B435" s="264" t="s">
        <v>631</v>
      </c>
    </row>
    <row r="436" spans="1:2" ht="18" customHeight="1">
      <c r="A436" s="262" t="s">
        <v>1400</v>
      </c>
      <c r="B436" s="264" t="s">
        <v>632</v>
      </c>
    </row>
    <row r="437" spans="1:2" ht="18" customHeight="1">
      <c r="A437" s="262" t="s">
        <v>1401</v>
      </c>
      <c r="B437" s="264" t="s">
        <v>633</v>
      </c>
    </row>
    <row r="438" spans="1:2" ht="18" customHeight="1">
      <c r="A438" s="262" t="s">
        <v>1402</v>
      </c>
      <c r="B438" s="264" t="s">
        <v>634</v>
      </c>
    </row>
    <row r="439" spans="1:2" ht="18" customHeight="1">
      <c r="A439" s="262" t="s">
        <v>1403</v>
      </c>
      <c r="B439" s="264" t="s">
        <v>635</v>
      </c>
    </row>
    <row r="440" spans="1:2" ht="18" customHeight="1">
      <c r="A440" s="262" t="s">
        <v>1404</v>
      </c>
      <c r="B440" s="264" t="s">
        <v>636</v>
      </c>
    </row>
    <row r="441" spans="1:2" ht="18" customHeight="1">
      <c r="A441" s="262" t="s">
        <v>1405</v>
      </c>
      <c r="B441" s="264" t="s">
        <v>637</v>
      </c>
    </row>
    <row r="442" spans="1:2" ht="18" customHeight="1">
      <c r="A442" s="262" t="s">
        <v>1406</v>
      </c>
      <c r="B442" s="264" t="s">
        <v>638</v>
      </c>
    </row>
    <row r="443" spans="1:2" ht="18" customHeight="1">
      <c r="A443" s="262" t="s">
        <v>1407</v>
      </c>
      <c r="B443" s="264" t="s">
        <v>639</v>
      </c>
    </row>
    <row r="444" spans="1:2" ht="18" customHeight="1">
      <c r="A444" s="262" t="s">
        <v>1408</v>
      </c>
      <c r="B444" s="264" t="s">
        <v>640</v>
      </c>
    </row>
    <row r="445" spans="1:2" ht="18" customHeight="1">
      <c r="A445" s="262" t="s">
        <v>1409</v>
      </c>
      <c r="B445" s="264" t="s">
        <v>641</v>
      </c>
    </row>
    <row r="446" spans="1:2" ht="18" customHeight="1">
      <c r="A446" s="262" t="s">
        <v>1410</v>
      </c>
      <c r="B446" s="264" t="s">
        <v>642</v>
      </c>
    </row>
    <row r="447" spans="1:2" ht="18" customHeight="1">
      <c r="A447" s="262" t="s">
        <v>1411</v>
      </c>
      <c r="B447" s="264" t="s">
        <v>643</v>
      </c>
    </row>
    <row r="448" spans="1:2" ht="18" customHeight="1">
      <c r="A448" s="262" t="s">
        <v>1412</v>
      </c>
      <c r="B448" s="264" t="s">
        <v>1413</v>
      </c>
    </row>
    <row r="449" spans="1:2" ht="18" customHeight="1">
      <c r="A449" s="262" t="s">
        <v>1414</v>
      </c>
      <c r="B449" s="264" t="s">
        <v>644</v>
      </c>
    </row>
    <row r="450" spans="1:2" ht="18" customHeight="1">
      <c r="A450" s="262" t="s">
        <v>1415</v>
      </c>
      <c r="B450" s="264" t="s">
        <v>645</v>
      </c>
    </row>
    <row r="451" spans="1:2" ht="18" customHeight="1">
      <c r="A451" s="262" t="s">
        <v>1416</v>
      </c>
      <c r="B451" s="264" t="s">
        <v>646</v>
      </c>
    </row>
    <row r="452" spans="1:2" ht="18" customHeight="1">
      <c r="A452" s="262" t="s">
        <v>1417</v>
      </c>
      <c r="B452" s="264" t="s">
        <v>647</v>
      </c>
    </row>
    <row r="453" spans="1:2" ht="18" customHeight="1">
      <c r="A453" s="262" t="s">
        <v>1418</v>
      </c>
      <c r="B453" s="264" t="s">
        <v>648</v>
      </c>
    </row>
    <row r="454" spans="1:2" ht="18" customHeight="1">
      <c r="A454" s="262" t="s">
        <v>1419</v>
      </c>
      <c r="B454" s="264" t="s">
        <v>649</v>
      </c>
    </row>
    <row r="455" spans="1:2" ht="18" customHeight="1">
      <c r="A455" s="262" t="s">
        <v>1420</v>
      </c>
      <c r="B455" s="264" t="s">
        <v>650</v>
      </c>
    </row>
    <row r="456" spans="1:2" ht="18" customHeight="1">
      <c r="A456" s="262" t="s">
        <v>1421</v>
      </c>
      <c r="B456" s="264" t="s">
        <v>651</v>
      </c>
    </row>
    <row r="457" spans="1:2" ht="18" customHeight="1">
      <c r="A457" s="262" t="s">
        <v>1422</v>
      </c>
      <c r="B457" s="264" t="s">
        <v>652</v>
      </c>
    </row>
    <row r="458" spans="1:2" ht="18" customHeight="1">
      <c r="A458" s="262" t="s">
        <v>1423</v>
      </c>
      <c r="B458" s="264" t="s">
        <v>653</v>
      </c>
    </row>
    <row r="459" spans="1:2" ht="18" customHeight="1">
      <c r="A459" s="262" t="s">
        <v>1424</v>
      </c>
      <c r="B459" s="264" t="s">
        <v>654</v>
      </c>
    </row>
    <row r="460" spans="1:2" ht="18" customHeight="1">
      <c r="A460" s="262" t="s">
        <v>1425</v>
      </c>
      <c r="B460" s="264" t="s">
        <v>655</v>
      </c>
    </row>
    <row r="461" spans="1:2" ht="18" customHeight="1">
      <c r="A461" s="262" t="s">
        <v>1426</v>
      </c>
      <c r="B461" s="264" t="s">
        <v>656</v>
      </c>
    </row>
    <row r="462" spans="1:2" ht="18" customHeight="1">
      <c r="A462" s="262" t="s">
        <v>1427</v>
      </c>
      <c r="B462" s="264" t="s">
        <v>657</v>
      </c>
    </row>
    <row r="463" spans="1:2" ht="18" customHeight="1">
      <c r="A463" s="262" t="s">
        <v>1428</v>
      </c>
      <c r="B463" s="264" t="s">
        <v>658</v>
      </c>
    </row>
    <row r="464" spans="1:2" ht="18" customHeight="1">
      <c r="A464" s="262" t="s">
        <v>1429</v>
      </c>
      <c r="B464" s="264" t="s">
        <v>1430</v>
      </c>
    </row>
    <row r="465" spans="1:2" ht="18" customHeight="1">
      <c r="A465" s="262" t="s">
        <v>1431</v>
      </c>
      <c r="B465" s="264" t="s">
        <v>659</v>
      </c>
    </row>
    <row r="466" spans="1:2" ht="18" customHeight="1">
      <c r="A466" s="262" t="s">
        <v>1432</v>
      </c>
      <c r="B466" s="264" t="s">
        <v>660</v>
      </c>
    </row>
    <row r="467" spans="1:2" ht="18" customHeight="1">
      <c r="A467" s="262" t="s">
        <v>1433</v>
      </c>
      <c r="B467" s="264" t="s">
        <v>661</v>
      </c>
    </row>
    <row r="468" spans="1:2" ht="18" customHeight="1">
      <c r="A468" s="262" t="s">
        <v>1434</v>
      </c>
      <c r="B468" s="264" t="s">
        <v>662</v>
      </c>
    </row>
    <row r="469" spans="1:2" ht="18" customHeight="1">
      <c r="A469" s="262" t="s">
        <v>1435</v>
      </c>
      <c r="B469" s="264" t="s">
        <v>663</v>
      </c>
    </row>
    <row r="470" spans="1:2" ht="18" customHeight="1">
      <c r="A470" s="262" t="s">
        <v>1436</v>
      </c>
      <c r="B470" s="264" t="s">
        <v>664</v>
      </c>
    </row>
    <row r="471" spans="1:2" ht="18" customHeight="1">
      <c r="A471" s="262" t="s">
        <v>1437</v>
      </c>
      <c r="B471" s="264" t="s">
        <v>665</v>
      </c>
    </row>
    <row r="472" spans="1:2" ht="18" customHeight="1">
      <c r="A472" s="260"/>
      <c r="B472" s="261" t="s">
        <v>1438</v>
      </c>
    </row>
    <row r="473" spans="1:2" ht="18" customHeight="1">
      <c r="A473" s="262" t="s">
        <v>1439</v>
      </c>
      <c r="B473" s="263" t="s">
        <v>613</v>
      </c>
    </row>
    <row r="474" spans="1:2" ht="18" customHeight="1">
      <c r="A474" s="262" t="s">
        <v>1440</v>
      </c>
      <c r="B474" s="272" t="s">
        <v>614</v>
      </c>
    </row>
    <row r="475" spans="1:2" ht="18" customHeight="1">
      <c r="A475" s="262" t="s">
        <v>1441</v>
      </c>
      <c r="B475" s="263" t="s">
        <v>396</v>
      </c>
    </row>
    <row r="476" spans="1:2" ht="18" customHeight="1">
      <c r="A476" s="262" t="s">
        <v>1442</v>
      </c>
      <c r="B476" s="263" t="s">
        <v>397</v>
      </c>
    </row>
    <row r="477" spans="1:2" ht="18" customHeight="1">
      <c r="A477" s="262" t="s">
        <v>1443</v>
      </c>
      <c r="B477" s="272" t="s">
        <v>1444</v>
      </c>
    </row>
    <row r="478" spans="1:2" ht="18" customHeight="1">
      <c r="A478" s="271" t="s">
        <v>1445</v>
      </c>
      <c r="B478" s="273" t="s">
        <v>710</v>
      </c>
    </row>
    <row r="479" spans="1:2" ht="18" customHeight="1">
      <c r="A479" s="262" t="s">
        <v>1446</v>
      </c>
      <c r="B479" s="263" t="s">
        <v>1447</v>
      </c>
    </row>
    <row r="480" spans="1:2" ht="18" customHeight="1">
      <c r="A480" s="262" t="s">
        <v>1448</v>
      </c>
      <c r="B480" s="263" t="s">
        <v>1449</v>
      </c>
    </row>
    <row r="481" spans="1:2" ht="18" customHeight="1">
      <c r="A481" s="262" t="s">
        <v>1450</v>
      </c>
      <c r="B481" s="263" t="s">
        <v>1451</v>
      </c>
    </row>
    <row r="482" spans="1:2" ht="18" customHeight="1">
      <c r="A482" s="262" t="s">
        <v>1452</v>
      </c>
      <c r="B482" s="263" t="s">
        <v>1453</v>
      </c>
    </row>
    <row r="483" spans="1:2" ht="18" customHeight="1">
      <c r="A483" s="271" t="s">
        <v>1454</v>
      </c>
      <c r="B483" s="273" t="s">
        <v>1455</v>
      </c>
    </row>
    <row r="484" spans="1:2" ht="18" customHeight="1">
      <c r="A484" s="262" t="s">
        <v>1456</v>
      </c>
      <c r="B484" s="272" t="s">
        <v>1457</v>
      </c>
    </row>
    <row r="485" spans="1:2" ht="18" customHeight="1">
      <c r="A485" s="260"/>
      <c r="B485" s="261" t="s">
        <v>1458</v>
      </c>
    </row>
    <row r="486" spans="1:2" ht="18" customHeight="1">
      <c r="A486" s="262" t="s">
        <v>1459</v>
      </c>
      <c r="B486" s="263" t="s">
        <v>698</v>
      </c>
    </row>
    <row r="487" spans="1:2" ht="18" customHeight="1">
      <c r="A487" s="262" t="s">
        <v>1460</v>
      </c>
      <c r="B487" s="263" t="s">
        <v>699</v>
      </c>
    </row>
    <row r="488" spans="1:2" ht="18" customHeight="1">
      <c r="A488" s="262" t="s">
        <v>1461</v>
      </c>
      <c r="B488" s="263" t="s">
        <v>700</v>
      </c>
    </row>
    <row r="489" spans="1:2" ht="18" customHeight="1">
      <c r="A489" s="262" t="s">
        <v>1462</v>
      </c>
      <c r="B489" s="263" t="s">
        <v>701</v>
      </c>
    </row>
    <row r="490" spans="1:2" ht="18" customHeight="1">
      <c r="A490" s="260"/>
      <c r="B490" s="261" t="s">
        <v>1463</v>
      </c>
    </row>
    <row r="491" spans="1:2" ht="18" customHeight="1">
      <c r="A491" s="262" t="s">
        <v>1464</v>
      </c>
      <c r="B491" s="263" t="s">
        <v>609</v>
      </c>
    </row>
    <row r="492" spans="1:2" ht="18" customHeight="1">
      <c r="A492" s="262" t="s">
        <v>1465</v>
      </c>
      <c r="B492" s="263" t="s">
        <v>702</v>
      </c>
    </row>
    <row r="493" spans="1:2" ht="18" customHeight="1">
      <c r="A493" s="262" t="s">
        <v>1466</v>
      </c>
      <c r="B493" s="266" t="s">
        <v>703</v>
      </c>
    </row>
    <row r="494" spans="1:2" ht="18" customHeight="1">
      <c r="A494" s="260"/>
      <c r="B494" s="261" t="s">
        <v>1467</v>
      </c>
    </row>
    <row r="495" spans="1:2" ht="18" customHeight="1">
      <c r="A495" s="262" t="s">
        <v>1468</v>
      </c>
      <c r="B495" s="263" t="s">
        <v>695</v>
      </c>
    </row>
    <row r="496" spans="1:2" ht="18" customHeight="1">
      <c r="A496" s="262" t="s">
        <v>1469</v>
      </c>
      <c r="B496" s="263" t="s">
        <v>1470</v>
      </c>
    </row>
    <row r="497" spans="1:2" ht="18" customHeight="1">
      <c r="A497" s="262" t="s">
        <v>1471</v>
      </c>
      <c r="B497" s="263" t="s">
        <v>696</v>
      </c>
    </row>
    <row r="498" spans="1:2" ht="18" customHeight="1">
      <c r="A498" s="262" t="s">
        <v>1472</v>
      </c>
      <c r="B498" s="263" t="s">
        <v>697</v>
      </c>
    </row>
    <row r="499" spans="1:2" ht="18" customHeight="1">
      <c r="A499" s="262"/>
      <c r="B499" s="261" t="s">
        <v>1473</v>
      </c>
    </row>
    <row r="500" spans="1:2" ht="18" customHeight="1">
      <c r="A500" s="262" t="s">
        <v>1474</v>
      </c>
      <c r="B500" s="263" t="s">
        <v>704</v>
      </c>
    </row>
    <row r="501" spans="1:2" ht="18" customHeight="1">
      <c r="A501" s="262" t="s">
        <v>1475</v>
      </c>
      <c r="B501" s="263" t="s">
        <v>705</v>
      </c>
    </row>
    <row r="502" spans="1:2" ht="18" customHeight="1">
      <c r="A502" s="262" t="s">
        <v>1476</v>
      </c>
      <c r="B502" s="263" t="s">
        <v>1477</v>
      </c>
    </row>
    <row r="503" spans="1:2" ht="18" customHeight="1">
      <c r="A503" s="262" t="s">
        <v>1478</v>
      </c>
      <c r="B503" s="263" t="s">
        <v>706</v>
      </c>
    </row>
    <row r="504" spans="1:2" ht="18" customHeight="1">
      <c r="A504" s="262" t="s">
        <v>1479</v>
      </c>
      <c r="B504" s="263" t="s">
        <v>707</v>
      </c>
    </row>
    <row r="505" spans="1:2" ht="18" customHeight="1">
      <c r="A505" s="262" t="s">
        <v>1480</v>
      </c>
      <c r="B505" s="263" t="s">
        <v>708</v>
      </c>
    </row>
    <row r="506" spans="1:2" ht="18" customHeight="1">
      <c r="A506" s="260"/>
      <c r="B506" s="261" t="s">
        <v>1481</v>
      </c>
    </row>
    <row r="507" spans="1:2" ht="18" customHeight="1">
      <c r="A507" s="262" t="s">
        <v>1482</v>
      </c>
      <c r="B507" s="263" t="s">
        <v>1483</v>
      </c>
    </row>
    <row r="508" spans="1:2" ht="18" customHeight="1">
      <c r="A508" s="262" t="s">
        <v>1484</v>
      </c>
      <c r="B508" s="263" t="s">
        <v>1485</v>
      </c>
    </row>
    <row r="509" spans="1:2" ht="18" customHeight="1">
      <c r="A509" s="262" t="s">
        <v>1486</v>
      </c>
      <c r="B509" s="263" t="s">
        <v>1487</v>
      </c>
    </row>
    <row r="510" spans="1:2" ht="18" customHeight="1">
      <c r="A510" s="262" t="s">
        <v>1488</v>
      </c>
      <c r="B510" s="263" t="s">
        <v>1489</v>
      </c>
    </row>
    <row r="511" spans="1:2" ht="18" customHeight="1">
      <c r="A511" s="262" t="s">
        <v>1490</v>
      </c>
      <c r="B511" s="263" t="s">
        <v>1491</v>
      </c>
    </row>
    <row r="512" spans="1:2" ht="18" customHeight="1">
      <c r="A512" s="262" t="s">
        <v>1492</v>
      </c>
      <c r="B512" s="263" t="s">
        <v>395</v>
      </c>
    </row>
    <row r="513" spans="1:2" ht="18" customHeight="1">
      <c r="A513" s="262" t="s">
        <v>1493</v>
      </c>
      <c r="B513" s="263" t="s">
        <v>709</v>
      </c>
    </row>
    <row r="514" spans="1:2" ht="18" customHeight="1">
      <c r="A514" s="262" t="s">
        <v>1494</v>
      </c>
      <c r="B514" s="263" t="s">
        <v>1495</v>
      </c>
    </row>
    <row r="515" spans="1:2" ht="18" customHeight="1">
      <c r="A515" s="395" t="s">
        <v>1507</v>
      </c>
      <c r="B515" s="395"/>
    </row>
    <row r="516" spans="1:2" ht="18" customHeight="1">
      <c r="A516" s="280" t="s">
        <v>1508</v>
      </c>
      <c r="B516" s="281"/>
    </row>
    <row r="518" spans="1:2">
      <c r="B518" s="274" t="s">
        <v>1522</v>
      </c>
    </row>
  </sheetData>
  <mergeCells count="4">
    <mergeCell ref="A1:B1"/>
    <mergeCell ref="A2:B2"/>
    <mergeCell ref="A3:B3"/>
    <mergeCell ref="A515:B515"/>
  </mergeCells>
  <pageMargins left="0.70866141732283472" right="0.70866141732283472"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G151"/>
  <sheetViews>
    <sheetView topLeftCell="A123" workbookViewId="0">
      <selection activeCell="C138" sqref="C138"/>
    </sheetView>
  </sheetViews>
  <sheetFormatPr defaultRowHeight="14.4"/>
  <cols>
    <col min="2" max="2" width="7.44140625" customWidth="1"/>
    <col min="3" max="3" width="42.44140625" customWidth="1"/>
    <col min="4" max="4" width="23" customWidth="1"/>
    <col min="5" max="5" width="20.109375" customWidth="1"/>
    <col min="6" max="6" width="12.44140625" customWidth="1"/>
    <col min="7" max="7" width="11.5546875" customWidth="1"/>
  </cols>
  <sheetData>
    <row r="1" spans="2:7" s="91" customFormat="1" ht="26.55" customHeight="1">
      <c r="B1" s="323" t="s">
        <v>889</v>
      </c>
      <c r="C1" s="323"/>
      <c r="D1" s="323"/>
      <c r="E1" s="323"/>
      <c r="F1" s="39"/>
      <c r="G1" s="39"/>
    </row>
    <row r="2" spans="2:7" ht="23.25" customHeight="1">
      <c r="B2" s="10" t="s">
        <v>2</v>
      </c>
      <c r="C2" s="220" t="s">
        <v>0</v>
      </c>
      <c r="D2" s="220" t="s">
        <v>3</v>
      </c>
      <c r="E2" s="10" t="s">
        <v>1</v>
      </c>
    </row>
    <row r="3" spans="2:7" ht="7.5" customHeight="1">
      <c r="B3" s="1">
        <v>1</v>
      </c>
      <c r="C3" s="3">
        <v>2</v>
      </c>
      <c r="D3" s="1">
        <v>3</v>
      </c>
      <c r="E3" s="1">
        <v>4</v>
      </c>
    </row>
    <row r="4" spans="2:7" ht="21.9" customHeight="1">
      <c r="B4" s="90">
        <v>1</v>
      </c>
      <c r="C4" s="298" t="s">
        <v>4</v>
      </c>
      <c r="D4" s="90" t="s">
        <v>5</v>
      </c>
      <c r="E4" s="299">
        <f>SUM(E5:E6)</f>
        <v>1742042.46</v>
      </c>
    </row>
    <row r="5" spans="2:7" ht="27">
      <c r="B5" s="241" t="s">
        <v>6</v>
      </c>
      <c r="C5" s="242" t="s">
        <v>7</v>
      </c>
      <c r="D5" s="243">
        <v>7046000</v>
      </c>
      <c r="E5" s="243">
        <f>D5*22%+91883.91</f>
        <v>1642003.91</v>
      </c>
    </row>
    <row r="6" spans="2:7">
      <c r="B6" s="241" t="s">
        <v>9</v>
      </c>
      <c r="C6" s="244" t="s">
        <v>8</v>
      </c>
      <c r="D6" s="243">
        <v>1000385.5</v>
      </c>
      <c r="E6" s="243">
        <f>D6*10%</f>
        <v>100038.55</v>
      </c>
    </row>
    <row r="7" spans="2:7" ht="40.200000000000003">
      <c r="B7" s="241" t="s">
        <v>10</v>
      </c>
      <c r="C7" s="244" t="s">
        <v>11</v>
      </c>
      <c r="D7" s="243"/>
      <c r="E7" s="243"/>
    </row>
    <row r="8" spans="2:7" ht="27">
      <c r="B8" s="245" t="s">
        <v>12</v>
      </c>
      <c r="C8" s="246" t="s">
        <v>13</v>
      </c>
      <c r="D8" s="240" t="s">
        <v>5</v>
      </c>
      <c r="E8" s="240">
        <f>SUM(E9:E13)</f>
        <v>253461.14324999999</v>
      </c>
    </row>
    <row r="9" spans="2:7" ht="53.4">
      <c r="B9" s="241" t="s">
        <v>14</v>
      </c>
      <c r="C9" s="244" t="s">
        <v>15</v>
      </c>
      <c r="D9" s="243">
        <v>8046385.5</v>
      </c>
      <c r="E9" s="243">
        <f>D9*2.9%</f>
        <v>233345.1795</v>
      </c>
    </row>
    <row r="10" spans="2:7" ht="27.75" customHeight="1">
      <c r="B10" s="241" t="s">
        <v>16</v>
      </c>
      <c r="C10" s="244" t="s">
        <v>17</v>
      </c>
      <c r="D10" s="243"/>
      <c r="E10" s="243"/>
    </row>
    <row r="11" spans="2:7" ht="40.200000000000003">
      <c r="B11" s="241" t="s">
        <v>18</v>
      </c>
      <c r="C11" s="244" t="s">
        <v>78</v>
      </c>
      <c r="D11" s="243">
        <v>8046385.5</v>
      </c>
      <c r="E11" s="243">
        <f>D11*0.25%</f>
        <v>20115.963749999999</v>
      </c>
    </row>
    <row r="12" spans="2:7" ht="40.200000000000003">
      <c r="B12" s="241" t="s">
        <v>19</v>
      </c>
      <c r="C12" s="244" t="s">
        <v>20</v>
      </c>
      <c r="D12" s="243"/>
      <c r="E12" s="243"/>
    </row>
    <row r="13" spans="2:7" ht="40.200000000000003">
      <c r="B13" s="241" t="s">
        <v>23</v>
      </c>
      <c r="C13" s="244" t="s">
        <v>20</v>
      </c>
      <c r="D13" s="243"/>
      <c r="E13" s="243"/>
    </row>
    <row r="14" spans="2:7" s="50" customFormat="1" ht="40.5" customHeight="1">
      <c r="B14" s="247" t="s">
        <v>24</v>
      </c>
      <c r="C14" s="248" t="s">
        <v>100</v>
      </c>
      <c r="D14" s="249">
        <v>8046385.5</v>
      </c>
      <c r="E14" s="249">
        <f>D14*5.1%</f>
        <v>410365.6605</v>
      </c>
    </row>
    <row r="15" spans="2:7" ht="15" customHeight="1">
      <c r="B15" s="245"/>
      <c r="C15" s="246" t="s">
        <v>26</v>
      </c>
      <c r="D15" s="240" t="s">
        <v>5</v>
      </c>
      <c r="E15" s="278">
        <f>E14+E8+E4</f>
        <v>2405869.2637499999</v>
      </c>
    </row>
    <row r="17" spans="2:6" ht="33.450000000000003" customHeight="1">
      <c r="B17" t="s">
        <v>21</v>
      </c>
      <c r="C17" s="324" t="s">
        <v>22</v>
      </c>
      <c r="D17" s="324"/>
      <c r="E17" s="324"/>
    </row>
    <row r="19" spans="2:6" ht="15.6">
      <c r="B19" s="13"/>
      <c r="C19" s="320" t="s">
        <v>27</v>
      </c>
      <c r="D19" s="320"/>
      <c r="E19" s="320"/>
      <c r="F19" s="320"/>
    </row>
    <row r="20" spans="2:6" ht="15.6">
      <c r="B20" s="13"/>
      <c r="C20" s="13"/>
      <c r="D20" s="13"/>
      <c r="E20" s="26"/>
      <c r="F20" s="13"/>
    </row>
    <row r="21" spans="2:6" ht="15.6">
      <c r="B21" s="21" t="s">
        <v>28</v>
      </c>
      <c r="C21" s="21"/>
      <c r="D21" s="21" t="s">
        <v>892</v>
      </c>
      <c r="E21" s="26"/>
      <c r="F21" s="13"/>
    </row>
    <row r="22" spans="2:6" ht="34.65" customHeight="1">
      <c r="B22" s="21" t="s">
        <v>29</v>
      </c>
      <c r="C22" s="21"/>
      <c r="D22" s="325" t="s">
        <v>893</v>
      </c>
      <c r="E22" s="325"/>
      <c r="F22" s="325"/>
    </row>
    <row r="23" spans="2:6" ht="15.6">
      <c r="B23" s="13"/>
      <c r="C23" s="13"/>
      <c r="D23" s="13"/>
      <c r="E23" s="26"/>
      <c r="F23" s="13"/>
    </row>
    <row r="24" spans="2:6" ht="62.4">
      <c r="B24" s="14" t="s">
        <v>2</v>
      </c>
      <c r="C24" s="14" t="s">
        <v>30</v>
      </c>
      <c r="D24" s="14" t="s">
        <v>83</v>
      </c>
      <c r="E24" s="27"/>
      <c r="F24" s="14" t="s">
        <v>32</v>
      </c>
    </row>
    <row r="25" spans="2:6">
      <c r="B25" s="225">
        <v>1</v>
      </c>
      <c r="C25" s="225">
        <v>2</v>
      </c>
      <c r="D25" s="225">
        <v>3</v>
      </c>
      <c r="E25" s="253">
        <v>4</v>
      </c>
      <c r="F25" s="225">
        <v>5</v>
      </c>
    </row>
    <row r="26" spans="2:6" ht="46.8">
      <c r="B26" s="24" t="s">
        <v>894</v>
      </c>
      <c r="C26" s="6" t="s">
        <v>895</v>
      </c>
      <c r="D26" s="22" t="s">
        <v>5</v>
      </c>
      <c r="E26" s="29" t="s">
        <v>5</v>
      </c>
      <c r="F26" s="9">
        <v>100000</v>
      </c>
    </row>
    <row r="27" spans="2:6" ht="78">
      <c r="B27" s="24" t="s">
        <v>896</v>
      </c>
      <c r="C27" s="6" t="s">
        <v>897</v>
      </c>
      <c r="D27" s="22" t="s">
        <v>5</v>
      </c>
      <c r="E27" s="29" t="s">
        <v>5</v>
      </c>
      <c r="F27" s="9">
        <v>400000</v>
      </c>
    </row>
    <row r="28" spans="2:6" ht="15.6">
      <c r="B28" s="38"/>
      <c r="C28" s="35" t="s">
        <v>25</v>
      </c>
      <c r="D28" s="34"/>
      <c r="E28" s="33"/>
      <c r="F28" s="34">
        <f>F26+F27</f>
        <v>500000</v>
      </c>
    </row>
    <row r="42" spans="2:7" ht="15.6">
      <c r="B42" s="320" t="s">
        <v>85</v>
      </c>
      <c r="C42" s="320"/>
      <c r="D42" s="320"/>
      <c r="E42" s="320"/>
      <c r="F42" s="320"/>
      <c r="G42" s="13"/>
    </row>
    <row r="43" spans="2:7" ht="15.6">
      <c r="B43" s="13"/>
      <c r="C43" s="222"/>
      <c r="D43" s="222"/>
      <c r="E43" s="222"/>
      <c r="F43" s="222"/>
      <c r="G43" s="13"/>
    </row>
    <row r="44" spans="2:7" ht="15.6">
      <c r="B44" s="13"/>
      <c r="C44" s="158" t="s">
        <v>876</v>
      </c>
      <c r="D44" s="222"/>
      <c r="E44" s="226">
        <v>244</v>
      </c>
      <c r="F44" s="222"/>
      <c r="G44" s="13"/>
    </row>
    <row r="45" spans="2:7" ht="15.75" customHeight="1">
      <c r="B45" s="226"/>
      <c r="C45" s="158" t="s">
        <v>29</v>
      </c>
      <c r="D45" s="226"/>
      <c r="E45" s="322" t="s">
        <v>893</v>
      </c>
      <c r="F45" s="322"/>
      <c r="G45" s="322"/>
    </row>
    <row r="46" spans="2:7" ht="22.5" customHeight="1">
      <c r="B46" s="13"/>
      <c r="C46" s="158"/>
      <c r="D46" s="13"/>
      <c r="E46" s="322"/>
      <c r="F46" s="322"/>
      <c r="G46" s="322"/>
    </row>
    <row r="47" spans="2:7" ht="15.6" hidden="1">
      <c r="B47" s="13"/>
      <c r="C47" s="158" t="s">
        <v>86</v>
      </c>
      <c r="D47" s="13"/>
      <c r="E47" s="13"/>
      <c r="F47" s="13"/>
      <c r="G47" s="13"/>
    </row>
    <row r="48" spans="2:7" ht="15.6" hidden="1">
      <c r="B48" s="13"/>
      <c r="C48" s="158"/>
      <c r="D48" s="13"/>
      <c r="E48" s="13"/>
      <c r="F48" s="13"/>
      <c r="G48" s="13"/>
    </row>
    <row r="49" spans="2:7" ht="21.6" hidden="1">
      <c r="B49" s="223" t="s">
        <v>2</v>
      </c>
      <c r="C49" s="223" t="s">
        <v>30</v>
      </c>
      <c r="D49" s="223" t="s">
        <v>87</v>
      </c>
      <c r="E49" s="223" t="s">
        <v>88</v>
      </c>
      <c r="F49" s="223" t="s">
        <v>89</v>
      </c>
      <c r="G49" s="43" t="s">
        <v>90</v>
      </c>
    </row>
    <row r="50" spans="2:7" hidden="1">
      <c r="B50" s="42">
        <v>1</v>
      </c>
      <c r="C50" s="42">
        <v>2</v>
      </c>
      <c r="D50" s="42">
        <v>3</v>
      </c>
      <c r="E50" s="42">
        <v>4</v>
      </c>
      <c r="F50" s="42">
        <v>5</v>
      </c>
      <c r="G50" s="42">
        <v>6</v>
      </c>
    </row>
    <row r="51" spans="2:7" ht="15.6" hidden="1">
      <c r="B51" s="61" t="s">
        <v>129</v>
      </c>
      <c r="C51" s="61" t="s">
        <v>122</v>
      </c>
      <c r="D51" s="8" t="s">
        <v>129</v>
      </c>
      <c r="E51" s="8" t="s">
        <v>193</v>
      </c>
      <c r="F51" s="9">
        <v>843.7</v>
      </c>
      <c r="G51" s="9">
        <f>F51*E51*D51</f>
        <v>9280.7000000000007</v>
      </c>
    </row>
    <row r="52" spans="2:7" ht="15.6" hidden="1">
      <c r="B52" s="61" t="s">
        <v>12</v>
      </c>
      <c r="C52" s="254" t="s">
        <v>124</v>
      </c>
      <c r="D52" s="8" t="s">
        <v>127</v>
      </c>
      <c r="E52" s="8" t="s">
        <v>877</v>
      </c>
      <c r="F52" s="9">
        <v>5.25</v>
      </c>
      <c r="G52" s="9">
        <f>E52*F52</f>
        <v>0</v>
      </c>
    </row>
    <row r="53" spans="2:7" ht="15.6" hidden="1">
      <c r="B53" s="61" t="s">
        <v>24</v>
      </c>
      <c r="C53" s="61" t="s">
        <v>125</v>
      </c>
      <c r="D53" s="8" t="s">
        <v>877</v>
      </c>
      <c r="E53" s="8" t="s">
        <v>123</v>
      </c>
      <c r="F53" s="9">
        <v>6755</v>
      </c>
      <c r="G53" s="9">
        <f>F53*E53*D53</f>
        <v>0</v>
      </c>
    </row>
    <row r="54" spans="2:7" ht="31.2" hidden="1">
      <c r="B54" s="61" t="s">
        <v>80</v>
      </c>
      <c r="C54" s="63" t="s">
        <v>128</v>
      </c>
      <c r="D54" s="8" t="s">
        <v>877</v>
      </c>
      <c r="E54" s="8" t="s">
        <v>123</v>
      </c>
      <c r="F54" s="9">
        <v>700</v>
      </c>
      <c r="G54" s="9">
        <f>F54*E54*D54</f>
        <v>0</v>
      </c>
    </row>
    <row r="55" spans="2:7" ht="15.6" hidden="1">
      <c r="B55" s="61" t="s">
        <v>81</v>
      </c>
      <c r="C55" s="61" t="s">
        <v>130</v>
      </c>
      <c r="D55" s="8" t="s">
        <v>877</v>
      </c>
      <c r="E55" s="8" t="s">
        <v>878</v>
      </c>
      <c r="F55" s="9">
        <v>2249.08</v>
      </c>
      <c r="G55" s="9">
        <f>F55*E55*D55</f>
        <v>0</v>
      </c>
    </row>
    <row r="56" spans="2:7" ht="15.6" hidden="1">
      <c r="B56" s="61" t="s">
        <v>126</v>
      </c>
      <c r="C56" s="61" t="s">
        <v>879</v>
      </c>
      <c r="D56" s="8" t="s">
        <v>129</v>
      </c>
      <c r="E56" s="8" t="s">
        <v>1502</v>
      </c>
      <c r="F56" s="9">
        <v>22</v>
      </c>
      <c r="G56" s="9">
        <f>F56*E56*D56</f>
        <v>770</v>
      </c>
    </row>
    <row r="57" spans="2:7" ht="15.6" hidden="1">
      <c r="B57" s="61"/>
      <c r="C57" s="61"/>
      <c r="D57" s="8"/>
      <c r="E57" s="8"/>
      <c r="F57" s="9"/>
      <c r="G57" s="9"/>
    </row>
    <row r="58" spans="2:7" ht="15.6" hidden="1">
      <c r="B58" s="61"/>
      <c r="C58" s="61"/>
      <c r="D58" s="8"/>
      <c r="E58" s="8"/>
      <c r="F58" s="9"/>
      <c r="G58" s="9"/>
    </row>
    <row r="59" spans="2:7" ht="15.6" hidden="1">
      <c r="B59" s="60"/>
      <c r="C59" s="60"/>
      <c r="D59" s="8"/>
      <c r="E59" s="8"/>
      <c r="F59" s="9"/>
      <c r="G59" s="9"/>
    </row>
    <row r="60" spans="2:7" ht="15.6" hidden="1">
      <c r="B60" s="60"/>
      <c r="C60" s="60"/>
      <c r="D60" s="8"/>
      <c r="E60" s="8"/>
      <c r="F60" s="9"/>
      <c r="G60" s="9"/>
    </row>
    <row r="61" spans="2:7" ht="15.6" hidden="1">
      <c r="B61" s="60"/>
      <c r="C61" s="60"/>
      <c r="D61" s="8"/>
      <c r="E61" s="8"/>
      <c r="F61" s="9"/>
      <c r="G61" s="9"/>
    </row>
    <row r="62" spans="2:7" ht="15.6" hidden="1">
      <c r="B62" s="35"/>
      <c r="C62" s="35" t="s">
        <v>26</v>
      </c>
      <c r="D62" s="32" t="s">
        <v>5</v>
      </c>
      <c r="E62" s="32" t="s">
        <v>5</v>
      </c>
      <c r="F62" s="32" t="s">
        <v>5</v>
      </c>
      <c r="G62" s="62">
        <f>SUM(G51:G61)</f>
        <v>10050.700000000001</v>
      </c>
    </row>
    <row r="63" spans="2:7" hidden="1"/>
    <row r="64" spans="2:7" hidden="1"/>
    <row r="65" spans="2:7" hidden="1"/>
    <row r="66" spans="2:7" hidden="1"/>
    <row r="67" spans="2:7" hidden="1"/>
    <row r="68" spans="2:7" hidden="1"/>
    <row r="69" spans="2:7" hidden="1"/>
    <row r="70" spans="2:7" hidden="1"/>
    <row r="72" spans="2:7" ht="15.6">
      <c r="B72" s="13"/>
      <c r="C72" s="320" t="s">
        <v>91</v>
      </c>
      <c r="D72" s="320"/>
      <c r="E72" s="320"/>
      <c r="F72" s="320"/>
      <c r="G72" s="320"/>
    </row>
    <row r="73" spans="2:7" ht="15.6">
      <c r="B73" s="13"/>
      <c r="C73" s="158"/>
      <c r="D73" s="13"/>
      <c r="E73" s="13"/>
      <c r="F73" s="64"/>
      <c r="G73" s="13"/>
    </row>
    <row r="74" spans="2:7" ht="21.6">
      <c r="B74" s="223" t="s">
        <v>2</v>
      </c>
      <c r="C74" s="223" t="s">
        <v>92</v>
      </c>
      <c r="D74" s="223" t="s">
        <v>93</v>
      </c>
      <c r="E74" s="223" t="s">
        <v>137</v>
      </c>
      <c r="F74" s="65" t="s">
        <v>94</v>
      </c>
      <c r="G74" s="43" t="s">
        <v>90</v>
      </c>
    </row>
    <row r="75" spans="2:7">
      <c r="B75" s="42">
        <v>1</v>
      </c>
      <c r="C75" s="42">
        <v>2</v>
      </c>
      <c r="D75" s="42">
        <v>3</v>
      </c>
      <c r="E75" s="42">
        <v>4</v>
      </c>
      <c r="F75" s="42" t="s">
        <v>81</v>
      </c>
      <c r="G75" s="42">
        <v>6</v>
      </c>
    </row>
    <row r="76" spans="2:7" ht="15.6">
      <c r="B76" s="40" t="s">
        <v>129</v>
      </c>
      <c r="C76" s="67" t="s">
        <v>132</v>
      </c>
      <c r="D76" s="40" t="s">
        <v>1546</v>
      </c>
      <c r="E76" s="34">
        <v>6670</v>
      </c>
      <c r="F76" s="68">
        <v>6.5000000000000002E-2</v>
      </c>
      <c r="G76" s="34">
        <f>(D76*E76)+((D76*E76)*6.5%)</f>
        <v>1683541.35</v>
      </c>
    </row>
    <row r="77" spans="2:7" ht="15.6">
      <c r="B77" s="8"/>
      <c r="C77" s="61"/>
      <c r="D77" s="8"/>
      <c r="E77" s="9"/>
      <c r="F77" s="66"/>
      <c r="G77" s="9"/>
    </row>
    <row r="78" spans="2:7" ht="15.6">
      <c r="B78" s="40" t="s">
        <v>12</v>
      </c>
      <c r="C78" s="67" t="s">
        <v>135</v>
      </c>
      <c r="D78" s="34">
        <f>D79</f>
        <v>405</v>
      </c>
      <c r="E78" s="34">
        <f>E79</f>
        <v>5010.59</v>
      </c>
      <c r="F78" s="34"/>
      <c r="G78" s="34">
        <f>G79</f>
        <v>2161192.7317499998</v>
      </c>
    </row>
    <row r="79" spans="2:7" ht="15.6">
      <c r="B79" s="8" t="s">
        <v>16</v>
      </c>
      <c r="C79" s="61" t="s">
        <v>138</v>
      </c>
      <c r="D79" s="9">
        <v>405</v>
      </c>
      <c r="E79" s="9">
        <v>5010.59</v>
      </c>
      <c r="F79" s="66">
        <v>6.5000000000000002E-2</v>
      </c>
      <c r="G79" s="9">
        <f>(D79*E79)+((D79*E79)*6.5%)</f>
        <v>2161192.7317499998</v>
      </c>
    </row>
    <row r="80" spans="2:7" ht="15.6">
      <c r="B80" s="8"/>
      <c r="C80" s="61"/>
      <c r="D80" s="8"/>
      <c r="E80" s="9"/>
      <c r="F80" s="66"/>
      <c r="G80" s="9"/>
    </row>
    <row r="81" spans="2:7" ht="15.6">
      <c r="B81" s="40" t="s">
        <v>24</v>
      </c>
      <c r="C81" s="67" t="s">
        <v>134</v>
      </c>
      <c r="D81" s="34">
        <f>D82</f>
        <v>32</v>
      </c>
      <c r="E81" s="34">
        <f>E82</f>
        <v>30.06</v>
      </c>
      <c r="F81" s="34"/>
      <c r="G81" s="34">
        <f>G82</f>
        <v>1024.4448</v>
      </c>
    </row>
    <row r="82" spans="2:7" ht="15.6">
      <c r="B82" s="8" t="s">
        <v>75</v>
      </c>
      <c r="C82" s="61" t="s">
        <v>138</v>
      </c>
      <c r="D82" s="9">
        <v>32</v>
      </c>
      <c r="E82" s="9">
        <v>30.06</v>
      </c>
      <c r="F82" s="66">
        <v>6.5000000000000002E-2</v>
      </c>
      <c r="G82" s="9">
        <f>(D82*E82)+((D82*E82)*6.5%)</f>
        <v>1024.4448</v>
      </c>
    </row>
    <row r="83" spans="2:7" ht="15.6">
      <c r="B83" s="8"/>
      <c r="C83" s="61"/>
      <c r="D83" s="9"/>
      <c r="E83" s="9"/>
      <c r="F83" s="66"/>
      <c r="G83" s="9"/>
    </row>
    <row r="84" spans="2:7" ht="15.6">
      <c r="B84" s="40" t="s">
        <v>80</v>
      </c>
      <c r="C84" s="67" t="s">
        <v>133</v>
      </c>
      <c r="D84" s="34">
        <f>D85</f>
        <v>32.5</v>
      </c>
      <c r="E84" s="34">
        <f>E85</f>
        <v>27.93</v>
      </c>
      <c r="F84" s="34"/>
      <c r="G84" s="34">
        <f>G85</f>
        <v>966.727125</v>
      </c>
    </row>
    <row r="85" spans="2:7" ht="15.6">
      <c r="B85" s="8" t="s">
        <v>75</v>
      </c>
      <c r="C85" s="61" t="s">
        <v>138</v>
      </c>
      <c r="D85" s="9">
        <v>32.5</v>
      </c>
      <c r="E85" s="9">
        <v>27.93</v>
      </c>
      <c r="F85" s="66">
        <v>6.5000000000000002E-2</v>
      </c>
      <c r="G85" s="9">
        <f>(D85*E85)+((D85*E85)*6.5%)</f>
        <v>966.727125</v>
      </c>
    </row>
    <row r="86" spans="2:7" ht="15.6">
      <c r="B86" s="8"/>
      <c r="C86" s="61"/>
      <c r="D86" s="8"/>
      <c r="E86" s="9"/>
      <c r="F86" s="66"/>
      <c r="G86" s="9"/>
    </row>
    <row r="87" spans="2:7" ht="15.6">
      <c r="B87" s="32"/>
      <c r="C87" s="31" t="s">
        <v>26</v>
      </c>
      <c r="D87" s="32" t="s">
        <v>5</v>
      </c>
      <c r="E87" s="32" t="s">
        <v>5</v>
      </c>
      <c r="F87" s="68" t="s">
        <v>5</v>
      </c>
      <c r="G87" s="34">
        <f>G76+G78+G81+G84</f>
        <v>3846725.2536750003</v>
      </c>
    </row>
    <row r="91" spans="2:7" ht="15.6" hidden="1">
      <c r="B91" s="13"/>
      <c r="C91" s="320" t="s">
        <v>41</v>
      </c>
      <c r="D91" s="320"/>
      <c r="E91" s="320"/>
      <c r="F91" s="320"/>
    </row>
    <row r="92" spans="2:7" ht="15.6" hidden="1">
      <c r="B92" s="13"/>
      <c r="C92" s="13"/>
      <c r="D92" s="13"/>
      <c r="E92" s="13"/>
      <c r="F92" s="13"/>
    </row>
    <row r="93" spans="2:7" ht="21.6" hidden="1">
      <c r="B93" s="223" t="s">
        <v>2</v>
      </c>
      <c r="C93" s="223" t="s">
        <v>42</v>
      </c>
      <c r="D93" s="223" t="s">
        <v>43</v>
      </c>
      <c r="E93" s="223" t="s">
        <v>58</v>
      </c>
      <c r="F93" s="223" t="s">
        <v>44</v>
      </c>
    </row>
    <row r="94" spans="2:7" ht="15.6" hidden="1">
      <c r="B94" s="5">
        <v>1</v>
      </c>
      <c r="C94" s="5" t="s">
        <v>898</v>
      </c>
      <c r="D94" s="4">
        <v>12</v>
      </c>
      <c r="E94" s="9">
        <v>25000</v>
      </c>
      <c r="F94" s="9">
        <f>E94*D94</f>
        <v>300000</v>
      </c>
    </row>
    <row r="95" spans="2:7" ht="15.6" hidden="1">
      <c r="B95" s="5"/>
      <c r="C95" s="5"/>
      <c r="D95" s="5"/>
      <c r="E95" s="11"/>
      <c r="F95" s="11"/>
    </row>
    <row r="96" spans="2:7" ht="15.6" hidden="1">
      <c r="B96" s="5"/>
      <c r="C96" s="5"/>
      <c r="D96" s="5"/>
      <c r="E96" s="11"/>
      <c r="F96" s="11"/>
    </row>
    <row r="97" spans="2:6" ht="15.6" hidden="1">
      <c r="B97" s="35"/>
      <c r="C97" s="35" t="s">
        <v>25</v>
      </c>
      <c r="D97" s="32" t="s">
        <v>5</v>
      </c>
      <c r="E97" s="32" t="s">
        <v>5</v>
      </c>
      <c r="F97" s="32" t="s">
        <v>5</v>
      </c>
    </row>
    <row r="98" spans="2:6" ht="15.6" hidden="1">
      <c r="B98" s="255"/>
      <c r="C98" s="255"/>
      <c r="D98" s="206"/>
      <c r="E98" s="206"/>
      <c r="F98" s="206"/>
    </row>
    <row r="99" spans="2:6" ht="15.6">
      <c r="B99" s="255"/>
      <c r="C99" s="255"/>
      <c r="D99" s="206"/>
      <c r="E99" s="206"/>
      <c r="F99" s="206"/>
    </row>
    <row r="100" spans="2:6" ht="15.6">
      <c r="B100" s="255"/>
      <c r="C100" s="255"/>
      <c r="D100" s="206"/>
      <c r="E100" s="206"/>
      <c r="F100" s="206"/>
    </row>
    <row r="101" spans="2:6" ht="9.75" customHeight="1">
      <c r="B101" s="255"/>
      <c r="C101" s="255"/>
      <c r="D101" s="206"/>
      <c r="E101" s="206"/>
      <c r="F101" s="206"/>
    </row>
    <row r="102" spans="2:6">
      <c r="B102" s="321" t="s">
        <v>40</v>
      </c>
      <c r="C102" s="321"/>
      <c r="D102" s="321"/>
      <c r="E102" s="321"/>
      <c r="F102" s="321"/>
    </row>
    <row r="103" spans="2:6" ht="8.6999999999999993" customHeight="1">
      <c r="B103" s="224"/>
      <c r="C103" s="12"/>
      <c r="D103" s="12"/>
      <c r="E103" s="12"/>
      <c r="F103" s="12"/>
    </row>
    <row r="104" spans="2:6" s="54" customFormat="1" ht="16.2" customHeight="1">
      <c r="B104" s="306" t="s">
        <v>2</v>
      </c>
      <c r="C104" s="306" t="s">
        <v>34</v>
      </c>
      <c r="D104" s="306" t="s">
        <v>49</v>
      </c>
      <c r="E104" s="305" t="s">
        <v>50</v>
      </c>
      <c r="F104" s="305" t="s">
        <v>51</v>
      </c>
    </row>
    <row r="105" spans="2:6" s="132" customFormat="1" ht="8.1" customHeight="1">
      <c r="B105" s="284">
        <v>1</v>
      </c>
      <c r="C105" s="284">
        <v>2</v>
      </c>
      <c r="D105" s="284">
        <v>3</v>
      </c>
      <c r="E105" s="236">
        <v>4</v>
      </c>
      <c r="F105" s="284">
        <v>5</v>
      </c>
    </row>
    <row r="106" spans="2:6">
      <c r="B106" s="15">
        <v>1</v>
      </c>
      <c r="C106" s="16" t="s">
        <v>37</v>
      </c>
      <c r="D106" s="15" t="s">
        <v>196</v>
      </c>
      <c r="E106" s="15">
        <v>1</v>
      </c>
      <c r="F106" s="19">
        <f>145000-19000</f>
        <v>126000</v>
      </c>
    </row>
    <row r="107" spans="2:6">
      <c r="B107" s="15">
        <v>2</v>
      </c>
      <c r="C107" s="16" t="s">
        <v>79</v>
      </c>
      <c r="D107" s="15" t="s">
        <v>196</v>
      </c>
      <c r="E107" s="15">
        <v>1</v>
      </c>
      <c r="F107" s="19">
        <v>105000</v>
      </c>
    </row>
    <row r="108" spans="2:6">
      <c r="B108" s="15">
        <v>3</v>
      </c>
      <c r="C108" s="16" t="s">
        <v>38</v>
      </c>
      <c r="D108" s="15" t="s">
        <v>196</v>
      </c>
      <c r="E108" s="15">
        <v>2</v>
      </c>
      <c r="F108" s="19">
        <v>20000</v>
      </c>
    </row>
    <row r="109" spans="2:6">
      <c r="B109" s="15">
        <v>4</v>
      </c>
      <c r="C109" s="17" t="s">
        <v>39</v>
      </c>
      <c r="D109" s="15" t="s">
        <v>196</v>
      </c>
      <c r="E109" s="15">
        <v>1</v>
      </c>
      <c r="F109" s="19">
        <v>9100</v>
      </c>
    </row>
    <row r="110" spans="2:6" ht="42">
      <c r="B110" s="15">
        <v>5</v>
      </c>
      <c r="C110" s="18" t="s">
        <v>46</v>
      </c>
      <c r="D110" s="15" t="s">
        <v>196</v>
      </c>
      <c r="E110" s="15">
        <v>1</v>
      </c>
      <c r="F110" s="19">
        <f>350000-170000-15000</f>
        <v>165000</v>
      </c>
    </row>
    <row r="111" spans="2:6">
      <c r="B111" s="81" t="s">
        <v>126</v>
      </c>
      <c r="C111" s="20" t="s">
        <v>186</v>
      </c>
      <c r="D111" s="15" t="s">
        <v>196</v>
      </c>
      <c r="E111" s="73">
        <v>2</v>
      </c>
      <c r="F111" s="74">
        <v>70000</v>
      </c>
    </row>
    <row r="112" spans="2:6">
      <c r="B112" s="78">
        <v>7</v>
      </c>
      <c r="C112" s="82" t="s">
        <v>140</v>
      </c>
      <c r="D112" s="15" t="s">
        <v>196</v>
      </c>
      <c r="E112" s="78"/>
      <c r="F112" s="80">
        <f>SUM(F113:F114)</f>
        <v>125000</v>
      </c>
    </row>
    <row r="113" spans="2:6">
      <c r="B113" s="76" t="s">
        <v>143</v>
      </c>
      <c r="C113" s="279" t="s">
        <v>141</v>
      </c>
      <c r="D113" s="73" t="s">
        <v>127</v>
      </c>
      <c r="E113" s="73">
        <v>1</v>
      </c>
      <c r="F113" s="74">
        <f>155000-60000</f>
        <v>95000</v>
      </c>
    </row>
    <row r="114" spans="2:6">
      <c r="B114" s="76" t="s">
        <v>146</v>
      </c>
      <c r="C114" s="17" t="s">
        <v>899</v>
      </c>
      <c r="D114" s="73" t="s">
        <v>127</v>
      </c>
      <c r="E114" s="73">
        <v>1</v>
      </c>
      <c r="F114" s="74">
        <f>55000-25000</f>
        <v>30000</v>
      </c>
    </row>
    <row r="115" spans="2:6">
      <c r="B115" s="81" t="s">
        <v>183</v>
      </c>
      <c r="C115" s="20" t="s">
        <v>195</v>
      </c>
      <c r="D115" s="15" t="s">
        <v>196</v>
      </c>
      <c r="E115" s="73">
        <v>3</v>
      </c>
      <c r="F115" s="74">
        <f>550000</f>
        <v>550000</v>
      </c>
    </row>
    <row r="116" spans="2:6" ht="28.2">
      <c r="B116" s="81" t="s">
        <v>185</v>
      </c>
      <c r="C116" s="20" t="s">
        <v>192</v>
      </c>
      <c r="D116" s="15" t="s">
        <v>196</v>
      </c>
      <c r="E116" s="73">
        <v>3</v>
      </c>
      <c r="F116" s="74">
        <v>30000</v>
      </c>
    </row>
    <row r="117" spans="2:6">
      <c r="B117" s="71"/>
      <c r="C117" s="70" t="s">
        <v>26</v>
      </c>
      <c r="D117" s="70"/>
      <c r="E117" s="71" t="s">
        <v>5</v>
      </c>
      <c r="F117" s="72">
        <f>F106+F107+F108+F109+F110+F111+F112+F115+F116</f>
        <v>1200100</v>
      </c>
    </row>
    <row r="118" spans="2:6" ht="6.3" customHeight="1">
      <c r="B118" s="309"/>
      <c r="C118" s="310"/>
      <c r="D118" s="310"/>
      <c r="E118" s="309"/>
      <c r="F118" s="311"/>
    </row>
    <row r="119" spans="2:6">
      <c r="B119" s="321" t="s">
        <v>48</v>
      </c>
      <c r="C119" s="321"/>
      <c r="D119" s="321"/>
      <c r="E119" s="321"/>
    </row>
    <row r="120" spans="2:6" ht="8.6999999999999993" customHeight="1">
      <c r="B120" s="12"/>
      <c r="C120" s="12"/>
      <c r="D120" s="12"/>
      <c r="E120" s="12"/>
    </row>
    <row r="121" spans="2:6" s="132" customFormat="1" ht="8.4">
      <c r="B121" s="284" t="s">
        <v>2</v>
      </c>
      <c r="C121" s="284" t="s">
        <v>34</v>
      </c>
      <c r="D121" s="236" t="s">
        <v>35</v>
      </c>
      <c r="E121" s="236" t="s">
        <v>36</v>
      </c>
    </row>
    <row r="122" spans="2:6">
      <c r="B122" s="225">
        <v>1</v>
      </c>
      <c r="C122" s="225">
        <v>2</v>
      </c>
      <c r="D122" s="223">
        <v>3</v>
      </c>
      <c r="E122" s="223">
        <v>4</v>
      </c>
    </row>
    <row r="123" spans="2:6">
      <c r="B123" s="15">
        <v>1</v>
      </c>
      <c r="C123" s="16" t="s">
        <v>52</v>
      </c>
      <c r="D123" s="15">
        <v>1</v>
      </c>
      <c r="E123" s="19">
        <v>55000</v>
      </c>
    </row>
    <row r="124" spans="2:6" ht="27">
      <c r="B124" s="78">
        <v>2</v>
      </c>
      <c r="C124" s="312" t="s">
        <v>171</v>
      </c>
      <c r="D124" s="78"/>
      <c r="E124" s="80">
        <f>SUM(E125:E127)</f>
        <v>749000</v>
      </c>
    </row>
    <row r="125" spans="2:6">
      <c r="B125" s="83" t="s">
        <v>14</v>
      </c>
      <c r="C125" s="17" t="s">
        <v>172</v>
      </c>
      <c r="D125" s="15">
        <v>4</v>
      </c>
      <c r="E125" s="19">
        <v>226000</v>
      </c>
    </row>
    <row r="126" spans="2:6">
      <c r="B126" s="83" t="s">
        <v>16</v>
      </c>
      <c r="C126" s="16" t="s">
        <v>174</v>
      </c>
      <c r="D126" s="15">
        <v>2</v>
      </c>
      <c r="E126" s="19">
        <f>278000</f>
        <v>278000</v>
      </c>
    </row>
    <row r="127" spans="2:6">
      <c r="B127" s="83" t="s">
        <v>18</v>
      </c>
      <c r="C127" s="16" t="s">
        <v>178</v>
      </c>
      <c r="D127" s="15">
        <v>1</v>
      </c>
      <c r="E127" s="19">
        <v>245000</v>
      </c>
    </row>
    <row r="128" spans="2:6">
      <c r="B128" s="77" t="s">
        <v>24</v>
      </c>
      <c r="C128" s="16" t="s">
        <v>187</v>
      </c>
      <c r="D128" s="15">
        <v>2</v>
      </c>
      <c r="E128" s="19">
        <v>35000</v>
      </c>
    </row>
    <row r="129" spans="2:6" ht="40.200000000000003">
      <c r="B129" s="77" t="s">
        <v>80</v>
      </c>
      <c r="C129" s="244" t="s">
        <v>188</v>
      </c>
      <c r="D129" s="15">
        <v>1</v>
      </c>
      <c r="E129" s="19">
        <v>7000</v>
      </c>
    </row>
    <row r="130" spans="2:6">
      <c r="B130" s="77" t="s">
        <v>81</v>
      </c>
      <c r="C130" s="18" t="s">
        <v>881</v>
      </c>
      <c r="D130" s="15">
        <v>1</v>
      </c>
      <c r="E130" s="19">
        <v>100000</v>
      </c>
    </row>
    <row r="131" spans="2:6">
      <c r="B131" s="77" t="s">
        <v>126</v>
      </c>
      <c r="C131" s="18" t="s">
        <v>189</v>
      </c>
      <c r="D131" s="15">
        <v>2</v>
      </c>
      <c r="E131" s="19">
        <v>235000</v>
      </c>
    </row>
    <row r="132" spans="2:6">
      <c r="B132" s="77" t="s">
        <v>1547</v>
      </c>
      <c r="C132" s="18" t="s">
        <v>1541</v>
      </c>
      <c r="D132" s="15">
        <v>1</v>
      </c>
      <c r="E132" s="19">
        <v>33600</v>
      </c>
    </row>
    <row r="133" spans="2:6">
      <c r="B133" s="69"/>
      <c r="C133" s="70" t="s">
        <v>26</v>
      </c>
      <c r="D133" s="71" t="s">
        <v>5</v>
      </c>
      <c r="E133" s="72">
        <f>E123+E124+E128+E129+E130+E131+E132</f>
        <v>1214600</v>
      </c>
    </row>
    <row r="135" spans="2:6">
      <c r="B135" s="321" t="s">
        <v>56</v>
      </c>
      <c r="C135" s="321"/>
      <c r="D135" s="321"/>
      <c r="E135" s="321"/>
      <c r="F135" s="321"/>
    </row>
    <row r="136" spans="2:6">
      <c r="B136" s="12"/>
      <c r="C136" s="12"/>
      <c r="D136" s="12"/>
      <c r="E136" s="12"/>
      <c r="F136" s="12"/>
    </row>
    <row r="137" spans="2:6">
      <c r="B137" s="12"/>
      <c r="C137" s="12"/>
      <c r="D137" s="12"/>
      <c r="E137" s="12"/>
      <c r="F137" s="12"/>
    </row>
    <row r="138" spans="2:6" ht="21.6">
      <c r="B138" s="225" t="s">
        <v>2</v>
      </c>
      <c r="C138" s="225" t="s">
        <v>34</v>
      </c>
      <c r="D138" s="225" t="s">
        <v>53</v>
      </c>
      <c r="E138" s="223" t="s">
        <v>54</v>
      </c>
      <c r="F138" s="223" t="s">
        <v>55</v>
      </c>
    </row>
    <row r="139" spans="2:6">
      <c r="B139" s="225"/>
      <c r="C139" s="225">
        <v>1</v>
      </c>
      <c r="D139" s="225">
        <v>2</v>
      </c>
      <c r="E139" s="223">
        <v>3</v>
      </c>
      <c r="F139" s="225">
        <v>4</v>
      </c>
    </row>
    <row r="140" spans="2:6" ht="27">
      <c r="B140" s="15">
        <v>1</v>
      </c>
      <c r="C140" s="244" t="s">
        <v>832</v>
      </c>
      <c r="D140" s="16">
        <v>10</v>
      </c>
      <c r="E140" s="15">
        <v>8000</v>
      </c>
      <c r="F140" s="19">
        <f>797000</f>
        <v>797000</v>
      </c>
    </row>
    <row r="141" spans="2:6" ht="27">
      <c r="B141" s="15">
        <v>2</v>
      </c>
      <c r="C141" s="256" t="s">
        <v>834</v>
      </c>
      <c r="D141" s="17">
        <v>12</v>
      </c>
      <c r="E141" s="15">
        <v>16000</v>
      </c>
      <c r="F141" s="19">
        <f>950000</f>
        <v>950000</v>
      </c>
    </row>
    <row r="142" spans="2:6">
      <c r="B142" s="15">
        <v>3</v>
      </c>
      <c r="C142" s="244" t="s">
        <v>837</v>
      </c>
      <c r="D142" s="16">
        <v>100</v>
      </c>
      <c r="E142" s="15">
        <v>1000</v>
      </c>
      <c r="F142" s="19">
        <f>1203000</f>
        <v>1203000</v>
      </c>
    </row>
    <row r="143" spans="2:6">
      <c r="B143" s="15">
        <v>4</v>
      </c>
      <c r="C143" s="244" t="s">
        <v>838</v>
      </c>
      <c r="D143" s="16">
        <v>215</v>
      </c>
      <c r="E143" s="15">
        <v>436</v>
      </c>
      <c r="F143" s="19">
        <v>100000</v>
      </c>
    </row>
    <row r="144" spans="2:6" ht="27">
      <c r="B144" s="15">
        <v>5</v>
      </c>
      <c r="C144" s="244" t="s">
        <v>900</v>
      </c>
      <c r="D144" s="16">
        <v>3500</v>
      </c>
      <c r="E144" s="15">
        <v>400</v>
      </c>
      <c r="F144" s="19">
        <f>40000</f>
        <v>40000</v>
      </c>
    </row>
    <row r="145" spans="2:6">
      <c r="B145" s="15">
        <v>6</v>
      </c>
      <c r="C145" s="244" t="s">
        <v>901</v>
      </c>
      <c r="D145" s="16">
        <v>80</v>
      </c>
      <c r="E145" s="15">
        <v>500</v>
      </c>
      <c r="F145" s="19">
        <v>40000</v>
      </c>
    </row>
    <row r="146" spans="2:6">
      <c r="B146" s="15">
        <v>7</v>
      </c>
      <c r="C146" s="244" t="s">
        <v>843</v>
      </c>
      <c r="D146" s="16">
        <v>25</v>
      </c>
      <c r="E146" s="15">
        <v>400</v>
      </c>
      <c r="F146" s="19">
        <v>10000</v>
      </c>
    </row>
    <row r="147" spans="2:6">
      <c r="B147" s="15">
        <v>8</v>
      </c>
      <c r="C147" s="244" t="s">
        <v>844</v>
      </c>
      <c r="D147" s="16">
        <v>50</v>
      </c>
      <c r="E147" s="15">
        <v>400</v>
      </c>
      <c r="F147" s="19">
        <f>1250000</f>
        <v>1250000</v>
      </c>
    </row>
    <row r="148" spans="2:6">
      <c r="B148" s="15">
        <v>9</v>
      </c>
      <c r="C148" s="244" t="s">
        <v>902</v>
      </c>
      <c r="D148" s="16">
        <v>3</v>
      </c>
      <c r="E148" s="15">
        <v>500000</v>
      </c>
      <c r="F148" s="19">
        <f>750000</f>
        <v>750000</v>
      </c>
    </row>
    <row r="149" spans="2:6">
      <c r="B149" s="15">
        <v>10</v>
      </c>
      <c r="C149" s="244" t="s">
        <v>1521</v>
      </c>
      <c r="D149" s="16">
        <v>35</v>
      </c>
      <c r="E149" s="15">
        <v>20000</v>
      </c>
      <c r="F149" s="19">
        <f>1600000</f>
        <v>1600000</v>
      </c>
    </row>
    <row r="150" spans="2:6" ht="28.2">
      <c r="B150" s="15">
        <v>11</v>
      </c>
      <c r="C150" s="18" t="s">
        <v>1548</v>
      </c>
      <c r="D150" s="16">
        <v>500</v>
      </c>
      <c r="E150" s="15">
        <v>5000</v>
      </c>
      <c r="F150" s="19">
        <f>2500000-400000</f>
        <v>2100000</v>
      </c>
    </row>
    <row r="151" spans="2:6">
      <c r="B151" s="69"/>
      <c r="C151" s="70" t="s">
        <v>26</v>
      </c>
      <c r="D151" s="70"/>
      <c r="E151" s="71" t="s">
        <v>5</v>
      </c>
      <c r="F151" s="72">
        <f>SUM(F140:F150)</f>
        <v>8840000</v>
      </c>
    </row>
  </sheetData>
  <mergeCells count="11">
    <mergeCell ref="E45:G46"/>
    <mergeCell ref="B1:E1"/>
    <mergeCell ref="C17:E17"/>
    <mergeCell ref="C19:F19"/>
    <mergeCell ref="D22:F22"/>
    <mergeCell ref="B42:F42"/>
    <mergeCell ref="C72:G72"/>
    <mergeCell ref="C91:F91"/>
    <mergeCell ref="B102:F102"/>
    <mergeCell ref="B119:E119"/>
    <mergeCell ref="B135:F135"/>
  </mergeCells>
  <pageMargins left="0.7" right="0.7" top="0.75" bottom="0.75" header="0.3" footer="0.3"/>
  <pageSetup paperSize="9" orientation="landscape" copies="2" r:id="rId1"/>
</worksheet>
</file>

<file path=xl/worksheets/sheet3.xml><?xml version="1.0" encoding="utf-8"?>
<worksheet xmlns="http://schemas.openxmlformats.org/spreadsheetml/2006/main" xmlns:r="http://schemas.openxmlformats.org/officeDocument/2006/relationships">
  <dimension ref="A1:J40"/>
  <sheetViews>
    <sheetView topLeftCell="A16" workbookViewId="0">
      <selection activeCell="G19" sqref="G19"/>
    </sheetView>
  </sheetViews>
  <sheetFormatPr defaultRowHeight="14.4"/>
  <cols>
    <col min="2" max="2" width="16.5546875" customWidth="1"/>
    <col min="4" max="4" width="14.5546875" customWidth="1"/>
    <col min="5" max="5" width="10.21875" bestFit="1" customWidth="1"/>
    <col min="6" max="6" width="15.5546875" customWidth="1"/>
    <col min="7" max="7" width="11.33203125" bestFit="1" customWidth="1"/>
    <col min="10" max="10" width="18.5546875" customWidth="1"/>
  </cols>
  <sheetData>
    <row r="1" spans="1:10" ht="15.6">
      <c r="A1" s="320" t="s">
        <v>108</v>
      </c>
      <c r="B1" s="320"/>
      <c r="C1" s="320"/>
      <c r="D1" s="320"/>
      <c r="E1" s="320"/>
      <c r="F1" s="320"/>
      <c r="G1" s="320"/>
      <c r="H1" s="320"/>
      <c r="I1" s="320"/>
      <c r="J1" s="320"/>
    </row>
    <row r="2" spans="1:10" ht="15.6">
      <c r="A2" s="13"/>
      <c r="B2" s="13"/>
      <c r="C2" s="13"/>
      <c r="D2" s="13"/>
      <c r="E2" s="13"/>
      <c r="F2" s="13"/>
      <c r="G2" s="13"/>
      <c r="H2" s="13"/>
      <c r="I2" s="13"/>
      <c r="J2" s="13"/>
    </row>
    <row r="3" spans="1:10" ht="15.6">
      <c r="A3" s="59" t="s">
        <v>28</v>
      </c>
      <c r="B3" s="59"/>
      <c r="C3" s="59"/>
      <c r="D3" s="13"/>
      <c r="E3" s="226">
        <v>111</v>
      </c>
      <c r="F3" s="13"/>
      <c r="G3" s="13"/>
      <c r="H3" s="13"/>
      <c r="I3" s="13"/>
      <c r="J3" s="13"/>
    </row>
    <row r="4" spans="1:10" ht="15.6">
      <c r="A4" s="59" t="s">
        <v>29</v>
      </c>
      <c r="B4" s="59"/>
      <c r="C4" s="59"/>
      <c r="D4" s="13"/>
      <c r="E4" s="226" t="s">
        <v>874</v>
      </c>
      <c r="F4" s="13"/>
      <c r="G4" s="13"/>
      <c r="H4" s="13"/>
      <c r="I4" s="13"/>
      <c r="J4" s="13"/>
    </row>
    <row r="5" spans="1:10" ht="15.6">
      <c r="A5" s="320" t="s">
        <v>109</v>
      </c>
      <c r="B5" s="320"/>
      <c r="C5" s="320"/>
      <c r="D5" s="320"/>
      <c r="E5" s="320"/>
      <c r="F5" s="320"/>
      <c r="G5" s="320"/>
      <c r="H5" s="320"/>
      <c r="I5" s="320"/>
      <c r="J5" s="320"/>
    </row>
    <row r="6" spans="1:10" ht="15.6">
      <c r="A6" s="13"/>
      <c r="B6" s="13"/>
      <c r="C6" s="13"/>
      <c r="D6" s="13"/>
      <c r="E6" s="13"/>
      <c r="F6" s="13"/>
      <c r="G6" s="13"/>
      <c r="H6" s="13"/>
      <c r="I6" s="13"/>
      <c r="J6" s="13"/>
    </row>
    <row r="7" spans="1:10">
      <c r="A7" s="314" t="s">
        <v>2</v>
      </c>
      <c r="B7" s="314" t="s">
        <v>110</v>
      </c>
      <c r="C7" s="314" t="s">
        <v>111</v>
      </c>
      <c r="D7" s="314" t="s">
        <v>112</v>
      </c>
      <c r="E7" s="314"/>
      <c r="F7" s="314"/>
      <c r="G7" s="314"/>
      <c r="H7" s="315" t="s">
        <v>119</v>
      </c>
      <c r="I7" s="315" t="s">
        <v>113</v>
      </c>
      <c r="J7" s="315" t="s">
        <v>120</v>
      </c>
    </row>
    <row r="8" spans="1:10">
      <c r="A8" s="314"/>
      <c r="B8" s="314"/>
      <c r="C8" s="314"/>
      <c r="D8" s="314" t="s">
        <v>114</v>
      </c>
      <c r="E8" s="318" t="s">
        <v>115</v>
      </c>
      <c r="F8" s="318"/>
      <c r="G8" s="318"/>
      <c r="H8" s="316"/>
      <c r="I8" s="316"/>
      <c r="J8" s="316"/>
    </row>
    <row r="9" spans="1:10" ht="30">
      <c r="A9" s="314"/>
      <c r="B9" s="314"/>
      <c r="C9" s="314"/>
      <c r="D9" s="314"/>
      <c r="E9" s="214" t="s">
        <v>116</v>
      </c>
      <c r="F9" s="214" t="s">
        <v>117</v>
      </c>
      <c r="G9" s="214" t="s">
        <v>118</v>
      </c>
      <c r="H9" s="317"/>
      <c r="I9" s="317"/>
      <c r="J9" s="317"/>
    </row>
    <row r="10" spans="1:10">
      <c r="A10" s="215">
        <v>1</v>
      </c>
      <c r="B10" s="215">
        <v>2</v>
      </c>
      <c r="C10" s="215">
        <v>3</v>
      </c>
      <c r="D10" s="215">
        <v>4</v>
      </c>
      <c r="E10" s="215">
        <v>5</v>
      </c>
      <c r="F10" s="215">
        <v>6</v>
      </c>
      <c r="G10" s="215">
        <v>7</v>
      </c>
      <c r="H10" s="215">
        <v>8</v>
      </c>
      <c r="I10" s="215">
        <v>9</v>
      </c>
      <c r="J10" s="215">
        <v>10</v>
      </c>
    </row>
    <row r="11" spans="1:10" ht="15.6">
      <c r="A11" s="5">
        <v>1</v>
      </c>
      <c r="B11" s="227" t="s">
        <v>198</v>
      </c>
      <c r="C11" s="5">
        <v>4.25</v>
      </c>
      <c r="D11" s="11">
        <f>E11+F11+G11</f>
        <v>20423.599999999999</v>
      </c>
      <c r="E11" s="11">
        <v>9001.7000000000007</v>
      </c>
      <c r="F11" s="11">
        <v>3421.9</v>
      </c>
      <c r="G11" s="11">
        <v>8000</v>
      </c>
      <c r="H11" s="11">
        <v>60</v>
      </c>
      <c r="I11" s="11">
        <v>1</v>
      </c>
      <c r="J11" s="11">
        <f>((D11*C11)*1.6)*12</f>
        <v>1666565.7599999998</v>
      </c>
    </row>
    <row r="12" spans="1:10" ht="15.6">
      <c r="A12" s="5"/>
      <c r="B12" s="227"/>
      <c r="C12" s="5"/>
      <c r="D12" s="5"/>
      <c r="E12" s="11"/>
      <c r="F12" s="11"/>
      <c r="G12" s="11"/>
      <c r="H12" s="11"/>
      <c r="I12" s="11"/>
      <c r="J12" s="11"/>
    </row>
    <row r="13" spans="1:10" ht="15.6">
      <c r="A13" s="5">
        <v>2</v>
      </c>
      <c r="B13" s="227" t="s">
        <v>199</v>
      </c>
      <c r="C13" s="228">
        <v>9</v>
      </c>
      <c r="D13" s="11">
        <f>E13+F13+G13</f>
        <v>14967.63</v>
      </c>
      <c r="E13" s="11">
        <v>6668.98</v>
      </c>
      <c r="F13" s="11">
        <v>3298.65</v>
      </c>
      <c r="G13" s="11">
        <v>5000</v>
      </c>
      <c r="H13" s="11">
        <v>60</v>
      </c>
      <c r="I13" s="11">
        <v>1</v>
      </c>
      <c r="J13" s="11">
        <f>((D13*C13)*1.6)*12</f>
        <v>2586406.4639999997</v>
      </c>
    </row>
    <row r="14" spans="1:10" ht="15.6">
      <c r="A14" s="5"/>
      <c r="B14" s="227"/>
      <c r="C14" s="5"/>
      <c r="D14" s="5"/>
      <c r="E14" s="11"/>
      <c r="F14" s="11"/>
      <c r="G14" s="11"/>
      <c r="H14" s="11"/>
      <c r="I14" s="11"/>
      <c r="J14" s="11"/>
    </row>
    <row r="15" spans="1:10" ht="15.6">
      <c r="A15" s="5"/>
      <c r="B15" s="227"/>
      <c r="C15" s="5"/>
      <c r="D15" s="5"/>
      <c r="E15" s="11"/>
      <c r="F15" s="11"/>
      <c r="G15" s="11"/>
      <c r="H15" s="11"/>
      <c r="I15" s="11"/>
      <c r="J15" s="11"/>
    </row>
    <row r="16" spans="1:10" ht="15.6">
      <c r="A16" s="5">
        <v>3</v>
      </c>
      <c r="B16" s="227" t="s">
        <v>201</v>
      </c>
      <c r="C16" s="5">
        <v>2.5</v>
      </c>
      <c r="D16" s="11">
        <f>E16+F16+G16</f>
        <v>11280</v>
      </c>
      <c r="E16" s="11">
        <v>4730.8999999999996</v>
      </c>
      <c r="F16" s="11">
        <v>1601.1</v>
      </c>
      <c r="G16" s="11">
        <v>4948</v>
      </c>
      <c r="H16" s="11">
        <v>60</v>
      </c>
      <c r="I16" s="11">
        <v>1</v>
      </c>
      <c r="J16" s="11">
        <f>((D16*C16)*1.6)*12</f>
        <v>541440</v>
      </c>
    </row>
    <row r="17" spans="1:10" ht="15.6">
      <c r="A17" s="5"/>
      <c r="B17" s="227"/>
      <c r="C17" s="5"/>
      <c r="D17" s="5"/>
      <c r="E17" s="11"/>
      <c r="F17" s="11"/>
      <c r="G17" s="11"/>
      <c r="H17" s="11"/>
      <c r="I17" s="11"/>
      <c r="J17" s="11"/>
    </row>
    <row r="18" spans="1:10" ht="15.6">
      <c r="A18" s="5">
        <v>4</v>
      </c>
      <c r="B18" s="227" t="s">
        <v>202</v>
      </c>
      <c r="C18" s="5">
        <v>5</v>
      </c>
      <c r="D18" s="11">
        <f>E18+F18+G18</f>
        <v>8953.130000000001</v>
      </c>
      <c r="E18" s="11">
        <v>5536.42</v>
      </c>
      <c r="F18" s="11">
        <v>1337.71</v>
      </c>
      <c r="G18" s="11">
        <v>2079</v>
      </c>
      <c r="H18" s="11">
        <v>60</v>
      </c>
      <c r="I18" s="11">
        <v>1</v>
      </c>
      <c r="J18" s="11">
        <f>((D18*C18)*1.6)*12</f>
        <v>859500.48000000021</v>
      </c>
    </row>
    <row r="19" spans="1:10" ht="15.6">
      <c r="A19" s="5"/>
      <c r="B19" s="227"/>
      <c r="C19" s="5"/>
      <c r="D19" s="5"/>
      <c r="E19" s="11"/>
      <c r="F19" s="11"/>
      <c r="G19" s="11"/>
      <c r="H19" s="11"/>
      <c r="I19" s="11"/>
      <c r="J19" s="11"/>
    </row>
    <row r="20" spans="1:10" ht="15.6">
      <c r="A20" s="5"/>
      <c r="B20" s="229"/>
      <c r="C20" s="5">
        <f>C11+C13+C16+C18</f>
        <v>20.75</v>
      </c>
      <c r="D20" s="11">
        <f>E20+F20+G20</f>
        <v>0</v>
      </c>
      <c r="E20" s="11"/>
      <c r="F20" s="11"/>
      <c r="G20" s="11"/>
      <c r="H20" s="11"/>
      <c r="I20" s="11"/>
      <c r="J20" s="11">
        <f>(C20*D20*(1+H20/100)*I20*12)</f>
        <v>0</v>
      </c>
    </row>
    <row r="21" spans="1:10" ht="15.6">
      <c r="A21" s="32"/>
      <c r="B21" s="31" t="s">
        <v>121</v>
      </c>
      <c r="C21" s="32" t="s">
        <v>5</v>
      </c>
      <c r="D21" s="32"/>
      <c r="E21" s="34" t="s">
        <v>5</v>
      </c>
      <c r="F21" s="34" t="s">
        <v>5</v>
      </c>
      <c r="G21" s="34" t="s">
        <v>5</v>
      </c>
      <c r="H21" s="34" t="s">
        <v>5</v>
      </c>
      <c r="I21" s="34" t="s">
        <v>5</v>
      </c>
      <c r="J21" s="34">
        <f>SUM(J11:J20)</f>
        <v>5653912.7039999999</v>
      </c>
    </row>
    <row r="32" spans="1:10" ht="15.6">
      <c r="A32" s="313" t="s">
        <v>101</v>
      </c>
      <c r="B32" s="313"/>
      <c r="C32" s="313"/>
      <c r="D32" s="313"/>
      <c r="E32" s="313"/>
      <c r="F32" s="313"/>
    </row>
    <row r="34" spans="1:6" ht="72.599999999999994">
      <c r="A34" s="46" t="s">
        <v>2</v>
      </c>
      <c r="B34" s="46" t="s">
        <v>34</v>
      </c>
      <c r="C34" s="47" t="s">
        <v>102</v>
      </c>
      <c r="D34" s="47" t="s">
        <v>103</v>
      </c>
      <c r="E34" s="47" t="s">
        <v>104</v>
      </c>
      <c r="F34" s="47" t="s">
        <v>90</v>
      </c>
    </row>
    <row r="35" spans="1:6">
      <c r="A35" s="45">
        <v>1</v>
      </c>
      <c r="B35" s="45">
        <v>2</v>
      </c>
      <c r="C35" s="45">
        <v>3</v>
      </c>
      <c r="D35" s="45">
        <v>4</v>
      </c>
      <c r="E35" s="45">
        <v>5</v>
      </c>
      <c r="F35" s="45">
        <v>6</v>
      </c>
    </row>
    <row r="36" spans="1:6" ht="15.6">
      <c r="A36" s="5">
        <v>1</v>
      </c>
      <c r="B36" s="5" t="s">
        <v>105</v>
      </c>
      <c r="C36" s="5">
        <v>600</v>
      </c>
      <c r="D36" s="5">
        <v>3</v>
      </c>
      <c r="E36" s="11">
        <v>2</v>
      </c>
      <c r="F36" s="11">
        <f>C36*D36*E36</f>
        <v>3600</v>
      </c>
    </row>
    <row r="37" spans="1:6" ht="15.6">
      <c r="A37" s="5">
        <v>2</v>
      </c>
      <c r="B37" s="5" t="s">
        <v>106</v>
      </c>
      <c r="C37" s="5">
        <v>5000</v>
      </c>
      <c r="D37" s="5">
        <v>1</v>
      </c>
      <c r="E37" s="11">
        <v>1</v>
      </c>
      <c r="F37" s="11">
        <f>C37*D37*E37</f>
        <v>5000</v>
      </c>
    </row>
    <row r="38" spans="1:6" ht="15.6">
      <c r="A38" s="5">
        <v>3</v>
      </c>
      <c r="B38" s="5" t="s">
        <v>107</v>
      </c>
      <c r="C38" s="5">
        <v>200</v>
      </c>
      <c r="D38" s="5">
        <v>3</v>
      </c>
      <c r="E38" s="11">
        <v>2</v>
      </c>
      <c r="F38" s="11">
        <f t="shared" ref="F38" si="0">C38*D38*E38</f>
        <v>1200</v>
      </c>
    </row>
    <row r="39" spans="1:6" ht="15.6">
      <c r="A39" s="5"/>
      <c r="B39" s="5"/>
      <c r="C39" s="5"/>
      <c r="D39" s="5"/>
      <c r="E39" s="11"/>
      <c r="F39" s="11"/>
    </row>
    <row r="40" spans="1:6">
      <c r="A40" s="44"/>
      <c r="B40" s="51" t="s">
        <v>25</v>
      </c>
      <c r="C40" s="52" t="s">
        <v>5</v>
      </c>
      <c r="D40" s="52" t="s">
        <v>5</v>
      </c>
      <c r="E40" s="52" t="s">
        <v>5</v>
      </c>
      <c r="F40" s="53">
        <f>SUM(F36:F39)</f>
        <v>9800</v>
      </c>
    </row>
  </sheetData>
  <mergeCells count="12">
    <mergeCell ref="E8:G8"/>
    <mergeCell ref="A32:F32"/>
    <mergeCell ref="A1:J1"/>
    <mergeCell ref="A5:J5"/>
    <mergeCell ref="A7:A9"/>
    <mergeCell ref="B7:B9"/>
    <mergeCell ref="C7:C9"/>
    <mergeCell ref="D7:G7"/>
    <mergeCell ref="H7:H9"/>
    <mergeCell ref="I7:I9"/>
    <mergeCell ref="J7:J9"/>
    <mergeCell ref="D8:D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B1:G208"/>
  <sheetViews>
    <sheetView topLeftCell="A135" workbookViewId="0">
      <selection activeCell="A147" sqref="A147:XFD150"/>
    </sheetView>
  </sheetViews>
  <sheetFormatPr defaultRowHeight="14.4"/>
  <cols>
    <col min="1" max="1" width="5" customWidth="1"/>
    <col min="2" max="2" width="5.5546875" customWidth="1"/>
    <col min="3" max="3" width="49.44140625" customWidth="1"/>
    <col min="4" max="4" width="13.5546875" customWidth="1"/>
    <col min="5" max="5" width="31.6640625" customWidth="1"/>
    <col min="6" max="6" width="13.44140625" customWidth="1"/>
    <col min="7" max="7" width="11.109375" customWidth="1"/>
  </cols>
  <sheetData>
    <row r="1" spans="2:7" ht="66" hidden="1" customHeight="1">
      <c r="B1" s="313" t="s">
        <v>139</v>
      </c>
      <c r="C1" s="313"/>
      <c r="D1" s="313"/>
      <c r="E1" s="313"/>
      <c r="F1" s="313"/>
      <c r="G1" s="313"/>
    </row>
    <row r="2" spans="2:7" ht="48.6" hidden="1">
      <c r="B2" s="46" t="s">
        <v>2</v>
      </c>
      <c r="C2" s="46" t="s">
        <v>34</v>
      </c>
      <c r="D2" s="47" t="s">
        <v>95</v>
      </c>
      <c r="E2" s="47" t="s">
        <v>96</v>
      </c>
      <c r="F2" s="47" t="s">
        <v>97</v>
      </c>
      <c r="G2" s="47" t="s">
        <v>90</v>
      </c>
    </row>
    <row r="3" spans="2:7" hidden="1">
      <c r="B3" s="45">
        <v>1</v>
      </c>
      <c r="C3" s="45">
        <v>2</v>
      </c>
      <c r="D3" s="45">
        <v>3</v>
      </c>
      <c r="E3" s="45">
        <v>4</v>
      </c>
      <c r="F3" s="45">
        <v>5</v>
      </c>
      <c r="G3" s="45">
        <v>6</v>
      </c>
    </row>
    <row r="4" spans="2:7" ht="15.6" hidden="1">
      <c r="B4" s="5">
        <v>1</v>
      </c>
      <c r="C4" s="5" t="s">
        <v>98</v>
      </c>
      <c r="D4" s="4">
        <v>0</v>
      </c>
      <c r="E4" s="4">
        <v>12</v>
      </c>
      <c r="F4" s="9">
        <v>9600</v>
      </c>
      <c r="G4" s="9">
        <f>D4*E4*F4</f>
        <v>0</v>
      </c>
    </row>
    <row r="5" spans="2:7" ht="15.6" hidden="1">
      <c r="B5" s="5">
        <v>2</v>
      </c>
      <c r="C5" s="5" t="s">
        <v>99</v>
      </c>
      <c r="D5" s="4">
        <v>0</v>
      </c>
      <c r="E5" s="4">
        <v>12</v>
      </c>
      <c r="F5" s="9">
        <v>60</v>
      </c>
      <c r="G5" s="9">
        <f>D5*E5*F5</f>
        <v>0</v>
      </c>
    </row>
    <row r="6" spans="2:7" ht="15.6" hidden="1">
      <c r="B6" s="5"/>
      <c r="C6" s="5"/>
      <c r="D6" s="4"/>
      <c r="E6" s="4"/>
      <c r="F6" s="9"/>
      <c r="G6" s="9"/>
    </row>
    <row r="7" spans="2:7" ht="15.6" hidden="1">
      <c r="B7" s="5"/>
      <c r="C7" s="5"/>
      <c r="D7" s="4"/>
      <c r="E7" s="4"/>
      <c r="F7" s="9"/>
      <c r="G7" s="9"/>
    </row>
    <row r="8" spans="2:7" hidden="1">
      <c r="B8" s="44"/>
      <c r="C8" s="51" t="s">
        <v>25</v>
      </c>
      <c r="D8" s="52" t="s">
        <v>5</v>
      </c>
      <c r="E8" s="52" t="s">
        <v>5</v>
      </c>
      <c r="F8" s="52" t="s">
        <v>5</v>
      </c>
      <c r="G8" s="53">
        <f>SUM(G4:G7)</f>
        <v>0</v>
      </c>
    </row>
    <row r="9" spans="2:7" hidden="1">
      <c r="B9" s="209"/>
      <c r="C9" s="210"/>
      <c r="D9" s="211"/>
      <c r="E9" s="211"/>
      <c r="F9" s="211"/>
      <c r="G9" s="212"/>
    </row>
    <row r="10" spans="2:7" hidden="1">
      <c r="B10" s="209"/>
      <c r="C10" s="210"/>
      <c r="D10" s="211"/>
      <c r="E10" s="211"/>
      <c r="F10" s="211"/>
      <c r="G10" s="212"/>
    </row>
    <row r="11" spans="2:7" hidden="1">
      <c r="B11" s="209"/>
      <c r="C11" s="210"/>
      <c r="D11" s="211"/>
      <c r="E11" s="211"/>
      <c r="F11" s="211"/>
      <c r="G11" s="212"/>
    </row>
    <row r="12" spans="2:7" hidden="1">
      <c r="B12" s="209"/>
      <c r="C12" s="210"/>
      <c r="D12" s="211"/>
      <c r="E12" s="211"/>
      <c r="F12" s="211"/>
      <c r="G12" s="212"/>
    </row>
    <row r="13" spans="2:7" hidden="1">
      <c r="B13" s="209"/>
      <c r="C13" s="210"/>
      <c r="D13" s="211"/>
      <c r="E13" s="211"/>
      <c r="F13" s="211"/>
      <c r="G13" s="212"/>
    </row>
    <row r="14" spans="2:7" hidden="1">
      <c r="B14" s="209"/>
      <c r="C14" s="210"/>
      <c r="D14" s="211"/>
      <c r="E14" s="211"/>
      <c r="F14" s="211"/>
      <c r="G14" s="212"/>
    </row>
    <row r="15" spans="2:7" hidden="1">
      <c r="B15" s="209"/>
      <c r="C15" s="210"/>
      <c r="D15" s="211"/>
      <c r="E15" s="211"/>
      <c r="F15" s="211"/>
      <c r="G15" s="212"/>
    </row>
    <row r="16" spans="2:7" hidden="1">
      <c r="B16" s="209"/>
      <c r="C16" s="210"/>
      <c r="D16" s="211"/>
      <c r="E16" s="211"/>
      <c r="F16" s="211"/>
      <c r="G16" s="212"/>
    </row>
    <row r="17" spans="2:7" hidden="1">
      <c r="B17" s="209"/>
      <c r="C17" s="210"/>
      <c r="D17" s="211"/>
      <c r="E17" s="211"/>
      <c r="F17" s="211"/>
      <c r="G17" s="212"/>
    </row>
    <row r="18" spans="2:7" hidden="1">
      <c r="B18" s="209"/>
      <c r="C18" s="210"/>
      <c r="D18" s="211"/>
      <c r="E18" s="211"/>
      <c r="F18" s="211"/>
      <c r="G18" s="212"/>
    </row>
    <row r="19" spans="2:7" hidden="1">
      <c r="B19" s="209"/>
      <c r="C19" s="210"/>
      <c r="D19" s="211"/>
      <c r="E19" s="211"/>
      <c r="F19" s="211"/>
      <c r="G19" s="212"/>
    </row>
    <row r="20" spans="2:7" hidden="1">
      <c r="B20" s="209"/>
      <c r="C20" s="210"/>
      <c r="D20" s="211"/>
      <c r="E20" s="211"/>
      <c r="F20" s="211"/>
      <c r="G20" s="212"/>
    </row>
    <row r="21" spans="2:7" hidden="1">
      <c r="B21" s="209"/>
      <c r="C21" s="210"/>
      <c r="D21" s="211"/>
      <c r="E21" s="211"/>
      <c r="F21" s="211"/>
      <c r="G21" s="212"/>
    </row>
    <row r="22" spans="2:7" hidden="1">
      <c r="B22" s="209"/>
      <c r="C22" s="210"/>
      <c r="D22" s="211"/>
      <c r="E22" s="211"/>
      <c r="F22" s="211"/>
      <c r="G22" s="212"/>
    </row>
    <row r="23" spans="2:7" hidden="1">
      <c r="B23" s="209"/>
      <c r="C23" s="210"/>
      <c r="D23" s="211"/>
      <c r="E23" s="211"/>
      <c r="F23" s="211"/>
      <c r="G23" s="212"/>
    </row>
    <row r="24" spans="2:7" s="237" customFormat="1" ht="27.15" customHeight="1">
      <c r="B24" s="323" t="s">
        <v>889</v>
      </c>
      <c r="C24" s="326"/>
      <c r="D24" s="326"/>
      <c r="E24" s="326"/>
    </row>
    <row r="25" spans="2:7" ht="19.649999999999999" customHeight="1">
      <c r="B25" s="235" t="s">
        <v>2</v>
      </c>
      <c r="C25" s="236" t="s">
        <v>0</v>
      </c>
      <c r="D25" s="236" t="s">
        <v>3</v>
      </c>
      <c r="E25" s="235" t="s">
        <v>1</v>
      </c>
    </row>
    <row r="26" spans="2:7" ht="9.75" customHeight="1">
      <c r="B26" s="1">
        <v>1</v>
      </c>
      <c r="C26" s="3">
        <v>2</v>
      </c>
      <c r="D26" s="1">
        <v>3</v>
      </c>
      <c r="E26" s="1">
        <v>4</v>
      </c>
    </row>
    <row r="27" spans="2:7" s="237" customFormat="1" ht="28.5" customHeight="1">
      <c r="B27" s="238">
        <v>1</v>
      </c>
      <c r="C27" s="239" t="s">
        <v>4</v>
      </c>
      <c r="D27" s="238" t="s">
        <v>5</v>
      </c>
      <c r="E27" s="240">
        <f>SUM(E28:E29)</f>
        <v>1224114.1754000001</v>
      </c>
    </row>
    <row r="28" spans="2:7" s="237" customFormat="1" ht="24" customHeight="1">
      <c r="B28" s="241" t="s">
        <v>6</v>
      </c>
      <c r="C28" s="242" t="s">
        <v>890</v>
      </c>
      <c r="D28" s="243">
        <v>5253928.07</v>
      </c>
      <c r="E28" s="243">
        <f>(D28*22%)</f>
        <v>1155864.1754000001</v>
      </c>
    </row>
    <row r="29" spans="2:7" s="237" customFormat="1" ht="21.75" customHeight="1">
      <c r="B29" s="241" t="s">
        <v>9</v>
      </c>
      <c r="C29" s="244" t="s">
        <v>8</v>
      </c>
      <c r="D29" s="243">
        <v>682500</v>
      </c>
      <c r="E29" s="243">
        <f>D29*10%</f>
        <v>68250</v>
      </c>
    </row>
    <row r="30" spans="2:7" s="237" customFormat="1" ht="36.75" customHeight="1">
      <c r="B30" s="241" t="s">
        <v>10</v>
      </c>
      <c r="C30" s="244" t="s">
        <v>11</v>
      </c>
      <c r="D30" s="243"/>
      <c r="E30" s="243"/>
    </row>
    <row r="31" spans="2:7" s="237" customFormat="1" ht="27.75" customHeight="1">
      <c r="B31" s="245" t="s">
        <v>12</v>
      </c>
      <c r="C31" s="246" t="s">
        <v>13</v>
      </c>
      <c r="D31" s="240" t="s">
        <v>5</v>
      </c>
      <c r="E31" s="240">
        <f>SUM(E32:E36)</f>
        <v>178098.73420499999</v>
      </c>
    </row>
    <row r="32" spans="2:7" s="237" customFormat="1" ht="49.5" customHeight="1">
      <c r="B32" s="241" t="s">
        <v>14</v>
      </c>
      <c r="C32" s="244" t="s">
        <v>15</v>
      </c>
      <c r="D32" s="243">
        <v>5653928.0700000003</v>
      </c>
      <c r="E32" s="243">
        <f>D32*2.9%</f>
        <v>163963.91402999999</v>
      </c>
    </row>
    <row r="33" spans="2:7" s="237" customFormat="1" ht="27.15" customHeight="1">
      <c r="B33" s="241" t="s">
        <v>16</v>
      </c>
      <c r="C33" s="244" t="s">
        <v>17</v>
      </c>
      <c r="D33" s="243"/>
      <c r="E33" s="243"/>
    </row>
    <row r="34" spans="2:7" s="237" customFormat="1" ht="35.25" customHeight="1">
      <c r="B34" s="241" t="s">
        <v>18</v>
      </c>
      <c r="C34" s="244" t="s">
        <v>78</v>
      </c>
      <c r="D34" s="243">
        <v>5653928.0700000003</v>
      </c>
      <c r="E34" s="243">
        <f>D34*0.25%</f>
        <v>14134.820175000001</v>
      </c>
    </row>
    <row r="35" spans="2:7" s="237" customFormat="1" ht="40.5" customHeight="1">
      <c r="B35" s="241" t="s">
        <v>19</v>
      </c>
      <c r="C35" s="244" t="s">
        <v>20</v>
      </c>
      <c r="D35" s="243"/>
      <c r="E35" s="243"/>
    </row>
    <row r="36" spans="2:7" s="237" customFormat="1" ht="35.25" customHeight="1">
      <c r="B36" s="241" t="s">
        <v>23</v>
      </c>
      <c r="C36" s="244" t="s">
        <v>20</v>
      </c>
      <c r="D36" s="243"/>
      <c r="E36" s="243"/>
    </row>
    <row r="37" spans="2:7" s="237" customFormat="1" ht="25.5" customHeight="1">
      <c r="B37" s="247" t="s">
        <v>24</v>
      </c>
      <c r="C37" s="248" t="s">
        <v>100</v>
      </c>
      <c r="D37" s="249">
        <v>5653928.0700000003</v>
      </c>
      <c r="E37" s="249">
        <f>D37*5.1%</f>
        <v>288350.33156999998</v>
      </c>
      <c r="F37" s="250"/>
      <c r="G37" s="250"/>
    </row>
    <row r="38" spans="2:7" s="237" customFormat="1" ht="26.25" customHeight="1">
      <c r="B38" s="245"/>
      <c r="C38" s="246" t="s">
        <v>26</v>
      </c>
      <c r="D38" s="240" t="s">
        <v>5</v>
      </c>
      <c r="E38" s="240">
        <f>E37+E31+E27</f>
        <v>1690563.2411750001</v>
      </c>
    </row>
    <row r="39" spans="2:7" ht="5.25" customHeight="1"/>
    <row r="40" spans="2:7" ht="35.25" customHeight="1">
      <c r="B40" t="s">
        <v>21</v>
      </c>
      <c r="C40" s="324" t="s">
        <v>22</v>
      </c>
      <c r="D40" s="324"/>
      <c r="E40" s="324"/>
    </row>
    <row r="43" spans="2:7" ht="15.6" hidden="1">
      <c r="B43" s="13"/>
      <c r="C43" s="320" t="s">
        <v>27</v>
      </c>
      <c r="D43" s="320"/>
      <c r="E43" s="320"/>
      <c r="F43" s="320"/>
    </row>
    <row r="44" spans="2:7" ht="15.6" hidden="1">
      <c r="B44" s="13"/>
      <c r="C44" s="13"/>
      <c r="D44" s="13"/>
      <c r="E44" s="26"/>
      <c r="F44" s="13"/>
    </row>
    <row r="45" spans="2:7" ht="15.6" hidden="1">
      <c r="B45" s="21" t="s">
        <v>28</v>
      </c>
      <c r="C45" s="21"/>
      <c r="D45" s="21" t="s">
        <v>59</v>
      </c>
      <c r="E45" s="26"/>
      <c r="F45" s="13"/>
    </row>
    <row r="46" spans="2:7" ht="15.6" hidden="1">
      <c r="B46" s="21" t="s">
        <v>29</v>
      </c>
      <c r="C46" s="21"/>
      <c r="D46" s="21" t="s">
        <v>875</v>
      </c>
      <c r="E46" s="26"/>
      <c r="F46" s="13"/>
    </row>
    <row r="47" spans="2:7" ht="15.6" hidden="1">
      <c r="B47" s="13"/>
      <c r="C47" s="13"/>
      <c r="D47" s="13"/>
      <c r="E47" s="26"/>
      <c r="F47" s="13"/>
    </row>
    <row r="48" spans="2:7" ht="37.5" hidden="1" customHeight="1">
      <c r="B48" s="230" t="s">
        <v>2</v>
      </c>
      <c r="C48" s="230" t="s">
        <v>30</v>
      </c>
      <c r="D48" s="230" t="s">
        <v>83</v>
      </c>
      <c r="E48" s="231" t="s">
        <v>31</v>
      </c>
      <c r="F48" s="230" t="s">
        <v>32</v>
      </c>
    </row>
    <row r="49" spans="2:6" hidden="1">
      <c r="B49" s="218">
        <v>1</v>
      </c>
      <c r="C49" s="218">
        <v>2</v>
      </c>
      <c r="D49" s="218">
        <v>3</v>
      </c>
      <c r="E49" s="28">
        <v>4</v>
      </c>
      <c r="F49" s="218">
        <v>5</v>
      </c>
    </row>
    <row r="50" spans="2:6" ht="15.6" hidden="1">
      <c r="B50" s="30">
        <v>1</v>
      </c>
      <c r="C50" s="31" t="s">
        <v>72</v>
      </c>
      <c r="D50" s="32" t="s">
        <v>5</v>
      </c>
      <c r="E50" s="33" t="s">
        <v>5</v>
      </c>
      <c r="F50" s="34">
        <f>SUM(F51:F58)</f>
        <v>0</v>
      </c>
    </row>
    <row r="51" spans="2:6" ht="15.6" hidden="1">
      <c r="B51" s="24" t="s">
        <v>6</v>
      </c>
      <c r="C51" s="5" t="s">
        <v>71</v>
      </c>
      <c r="D51" s="22">
        <f>74+85+85+84+84+84+128+128+128+128+128+128</f>
        <v>1264</v>
      </c>
      <c r="E51" s="29">
        <v>4.5</v>
      </c>
      <c r="F51" s="9">
        <v>0</v>
      </c>
    </row>
    <row r="52" spans="2:6" ht="15.6" hidden="1">
      <c r="B52" s="25" t="s">
        <v>9</v>
      </c>
      <c r="C52" s="5" t="s">
        <v>70</v>
      </c>
      <c r="D52" s="22">
        <f>112.2+112.2+112.2+112.2</f>
        <v>448.8</v>
      </c>
      <c r="E52" s="29">
        <v>7.5</v>
      </c>
      <c r="F52" s="9">
        <v>0</v>
      </c>
    </row>
    <row r="53" spans="2:6" ht="15.6" hidden="1">
      <c r="B53" s="25" t="s">
        <v>10</v>
      </c>
      <c r="C53" s="5" t="s">
        <v>65</v>
      </c>
      <c r="D53" s="22">
        <f>98+98+98</f>
        <v>294</v>
      </c>
      <c r="E53" s="29">
        <v>4.5</v>
      </c>
      <c r="F53" s="9">
        <v>0</v>
      </c>
    </row>
    <row r="54" spans="2:6" ht="15.6" hidden="1">
      <c r="B54" s="25" t="s">
        <v>60</v>
      </c>
      <c r="C54" s="5" t="s">
        <v>65</v>
      </c>
      <c r="D54" s="22">
        <f>140+140+140</f>
        <v>420</v>
      </c>
      <c r="E54" s="29">
        <v>7.5</v>
      </c>
      <c r="F54" s="9">
        <v>0</v>
      </c>
    </row>
    <row r="55" spans="2:6" ht="15.6" hidden="1">
      <c r="B55" s="25" t="s">
        <v>61</v>
      </c>
      <c r="C55" s="5" t="s">
        <v>66</v>
      </c>
      <c r="D55" s="22">
        <v>115</v>
      </c>
      <c r="E55" s="29">
        <v>13</v>
      </c>
      <c r="F55" s="9">
        <v>0</v>
      </c>
    </row>
    <row r="56" spans="2:6" ht="33.75" hidden="1" customHeight="1">
      <c r="B56" s="25" t="s">
        <v>67</v>
      </c>
      <c r="C56" s="6" t="s">
        <v>63</v>
      </c>
      <c r="D56" s="22">
        <v>110</v>
      </c>
      <c r="E56" s="29">
        <v>7.5</v>
      </c>
      <c r="F56" s="9">
        <v>0</v>
      </c>
    </row>
    <row r="57" spans="2:6" ht="21.75" hidden="1" customHeight="1">
      <c r="B57" s="25" t="s">
        <v>68</v>
      </c>
      <c r="C57" s="5" t="s">
        <v>62</v>
      </c>
      <c r="D57" s="22">
        <v>125.12</v>
      </c>
      <c r="E57" s="29">
        <v>7.5</v>
      </c>
      <c r="F57" s="9">
        <v>0</v>
      </c>
    </row>
    <row r="58" spans="2:6" ht="28.5" hidden="1" customHeight="1">
      <c r="B58" s="25" t="s">
        <v>69</v>
      </c>
      <c r="C58" s="6" t="s">
        <v>64</v>
      </c>
      <c r="D58" s="22">
        <v>280</v>
      </c>
      <c r="E58" s="29">
        <v>45</v>
      </c>
      <c r="F58" s="9">
        <v>0</v>
      </c>
    </row>
    <row r="59" spans="2:6" ht="15.6" hidden="1">
      <c r="B59" s="30">
        <v>2</v>
      </c>
      <c r="C59" s="35" t="s">
        <v>33</v>
      </c>
      <c r="D59" s="34">
        <v>42174065.670000002</v>
      </c>
      <c r="E59" s="33">
        <v>1.5</v>
      </c>
      <c r="F59" s="34">
        <v>0</v>
      </c>
    </row>
    <row r="60" spans="2:6" ht="15.6" hidden="1">
      <c r="B60" s="30">
        <v>3</v>
      </c>
      <c r="C60" s="35" t="s">
        <v>73</v>
      </c>
      <c r="D60" s="36" t="s">
        <v>5</v>
      </c>
      <c r="E60" s="37" t="s">
        <v>5</v>
      </c>
      <c r="F60" s="34">
        <f>SUM(F61:F62)</f>
        <v>0</v>
      </c>
    </row>
    <row r="61" spans="2:6" ht="15.6" hidden="1">
      <c r="B61" s="8" t="s">
        <v>74</v>
      </c>
      <c r="C61" s="5" t="s">
        <v>76</v>
      </c>
      <c r="D61" s="22">
        <v>53985000</v>
      </c>
      <c r="E61" s="29">
        <v>0.1</v>
      </c>
      <c r="F61" s="9">
        <v>0</v>
      </c>
    </row>
    <row r="62" spans="2:6" ht="15.6" hidden="1">
      <c r="B62" s="8" t="s">
        <v>75</v>
      </c>
      <c r="C62" s="5" t="s">
        <v>77</v>
      </c>
      <c r="D62" s="22">
        <v>1225000</v>
      </c>
      <c r="E62" s="29">
        <v>2.2000000000000002</v>
      </c>
      <c r="F62" s="9">
        <v>0</v>
      </c>
    </row>
    <row r="63" spans="2:6" ht="33" hidden="1" customHeight="1">
      <c r="B63" s="40" t="s">
        <v>80</v>
      </c>
      <c r="C63" s="41" t="s">
        <v>82</v>
      </c>
      <c r="D63" s="36">
        <v>197.3</v>
      </c>
      <c r="E63" s="37" t="s">
        <v>5</v>
      </c>
      <c r="F63" s="34">
        <v>0</v>
      </c>
    </row>
    <row r="64" spans="2:6" ht="28.5" hidden="1" customHeight="1">
      <c r="B64" s="40" t="s">
        <v>81</v>
      </c>
      <c r="C64" s="41" t="s">
        <v>84</v>
      </c>
      <c r="D64" s="36">
        <v>2000</v>
      </c>
      <c r="E64" s="37" t="s">
        <v>5</v>
      </c>
      <c r="F64" s="34">
        <v>0</v>
      </c>
    </row>
    <row r="65" spans="2:7" ht="15.6" hidden="1">
      <c r="B65" s="38"/>
      <c r="C65" s="35" t="s">
        <v>25</v>
      </c>
      <c r="D65" s="34"/>
      <c r="E65" s="33"/>
      <c r="F65" s="34">
        <f>F50+F59+F60+F63+F64</f>
        <v>0</v>
      </c>
    </row>
    <row r="66" spans="2:7" ht="15.6">
      <c r="B66" s="13"/>
      <c r="C66" s="13"/>
      <c r="D66" s="13"/>
      <c r="E66" s="26"/>
      <c r="F66" s="13"/>
    </row>
    <row r="69" spans="2:7" ht="15.6">
      <c r="B69" s="320" t="s">
        <v>85</v>
      </c>
      <c r="C69" s="320"/>
      <c r="D69" s="320"/>
      <c r="E69" s="320"/>
      <c r="F69" s="320"/>
      <c r="G69" s="13"/>
    </row>
    <row r="70" spans="2:7" ht="15.6">
      <c r="B70" s="13"/>
      <c r="C70" s="213"/>
      <c r="D70" s="213"/>
      <c r="E70" s="213"/>
      <c r="F70" s="213"/>
      <c r="G70" s="13"/>
    </row>
    <row r="71" spans="2:7" ht="15.6">
      <c r="B71" s="13"/>
      <c r="C71" s="158" t="s">
        <v>876</v>
      </c>
      <c r="D71" s="213"/>
      <c r="E71" s="169">
        <v>244</v>
      </c>
      <c r="F71" s="169"/>
      <c r="G71" s="13"/>
    </row>
    <row r="72" spans="2:7" ht="15.6">
      <c r="B72" s="13"/>
      <c r="C72" s="158" t="s">
        <v>29</v>
      </c>
      <c r="D72" s="327" t="s">
        <v>874</v>
      </c>
      <c r="E72" s="327"/>
      <c r="F72" s="327"/>
      <c r="G72" s="13"/>
    </row>
    <row r="73" spans="2:7" ht="15.6">
      <c r="B73" s="13"/>
      <c r="C73" s="158"/>
      <c r="D73" s="13"/>
      <c r="E73" s="13"/>
      <c r="F73" s="13"/>
      <c r="G73" s="13"/>
    </row>
    <row r="74" spans="2:7" ht="15.6">
      <c r="B74" s="13"/>
      <c r="C74" s="158"/>
      <c r="D74" s="13"/>
      <c r="E74" s="13"/>
      <c r="F74" s="13"/>
      <c r="G74" s="13"/>
    </row>
    <row r="75" spans="2:7" ht="15.6">
      <c r="B75" s="13"/>
      <c r="C75" s="158" t="s">
        <v>86</v>
      </c>
      <c r="D75" s="13"/>
      <c r="E75" s="13"/>
      <c r="F75" s="13"/>
      <c r="G75" s="13"/>
    </row>
    <row r="76" spans="2:7" ht="15.6">
      <c r="B76" s="13"/>
      <c r="C76" s="158"/>
      <c r="D76" s="13"/>
      <c r="E76" s="13"/>
      <c r="F76" s="13"/>
      <c r="G76" s="13"/>
    </row>
    <row r="77" spans="2:7" ht="21.6">
      <c r="B77" s="216" t="s">
        <v>2</v>
      </c>
      <c r="C77" s="216" t="s">
        <v>30</v>
      </c>
      <c r="D77" s="216" t="s">
        <v>87</v>
      </c>
      <c r="E77" s="216" t="s">
        <v>88</v>
      </c>
      <c r="F77" s="216" t="s">
        <v>89</v>
      </c>
      <c r="G77" s="43" t="s">
        <v>90</v>
      </c>
    </row>
    <row r="78" spans="2:7">
      <c r="B78" s="42">
        <v>1</v>
      </c>
      <c r="C78" s="42">
        <v>2</v>
      </c>
      <c r="D78" s="42">
        <v>3</v>
      </c>
      <c r="E78" s="42">
        <v>4</v>
      </c>
      <c r="F78" s="42">
        <v>5</v>
      </c>
      <c r="G78" s="42">
        <v>6</v>
      </c>
    </row>
    <row r="79" spans="2:7" ht="15.6">
      <c r="B79" s="61" t="s">
        <v>129</v>
      </c>
      <c r="C79" s="61" t="s">
        <v>122</v>
      </c>
      <c r="D79" s="8" t="s">
        <v>80</v>
      </c>
      <c r="E79" s="8" t="s">
        <v>12</v>
      </c>
      <c r="F79" s="9">
        <v>879.6</v>
      </c>
      <c r="G79" s="9">
        <f>F79*E79*D79</f>
        <v>7036.8</v>
      </c>
    </row>
    <row r="80" spans="2:7" ht="15.6">
      <c r="B80" s="61" t="s">
        <v>12</v>
      </c>
      <c r="C80" s="61" t="s">
        <v>124</v>
      </c>
      <c r="D80" s="8" t="s">
        <v>127</v>
      </c>
      <c r="E80" s="8" t="s">
        <v>1538</v>
      </c>
      <c r="F80" s="9">
        <v>5.25</v>
      </c>
      <c r="G80" s="9">
        <f>E80*F80</f>
        <v>1270.5</v>
      </c>
    </row>
    <row r="81" spans="2:7" ht="15.6" hidden="1">
      <c r="B81" s="61"/>
      <c r="C81" s="61" t="s">
        <v>125</v>
      </c>
      <c r="D81" s="8" t="s">
        <v>877</v>
      </c>
      <c r="E81" s="8" t="s">
        <v>123</v>
      </c>
      <c r="F81" s="9">
        <v>6755</v>
      </c>
      <c r="G81" s="9">
        <f>F81*E81*D81</f>
        <v>0</v>
      </c>
    </row>
    <row r="82" spans="2:7" ht="32.25" customHeight="1">
      <c r="B82" s="61" t="s">
        <v>24</v>
      </c>
      <c r="C82" s="63" t="s">
        <v>128</v>
      </c>
      <c r="D82" s="8" t="s">
        <v>129</v>
      </c>
      <c r="E82" s="8" t="s">
        <v>123</v>
      </c>
      <c r="F82" s="9">
        <v>890</v>
      </c>
      <c r="G82" s="9">
        <f>F82*E82*D82</f>
        <v>10680</v>
      </c>
    </row>
    <row r="83" spans="2:7" ht="15.6" hidden="1">
      <c r="B83" s="61"/>
      <c r="C83" s="61" t="s">
        <v>130</v>
      </c>
      <c r="D83" s="8" t="s">
        <v>877</v>
      </c>
      <c r="E83" s="8" t="s">
        <v>878</v>
      </c>
      <c r="F83" s="9">
        <v>2249.08</v>
      </c>
      <c r="G83" s="9">
        <f>F83*E83*D83</f>
        <v>0</v>
      </c>
    </row>
    <row r="84" spans="2:7" ht="15.6">
      <c r="B84" s="61" t="s">
        <v>80</v>
      </c>
      <c r="C84" s="61" t="s">
        <v>879</v>
      </c>
      <c r="D84" s="8" t="s">
        <v>129</v>
      </c>
      <c r="E84" s="8" t="s">
        <v>1537</v>
      </c>
      <c r="F84" s="9">
        <v>60</v>
      </c>
      <c r="G84" s="9">
        <f>F84*E84*D84</f>
        <v>6000</v>
      </c>
    </row>
    <row r="85" spans="2:7" ht="15.6">
      <c r="B85" s="61"/>
      <c r="C85" s="61"/>
      <c r="D85" s="8"/>
      <c r="E85" s="8"/>
      <c r="F85" s="9"/>
      <c r="G85" s="9"/>
    </row>
    <row r="86" spans="2:7" ht="15.6">
      <c r="B86" s="61"/>
      <c r="C86" s="61"/>
      <c r="D86" s="8"/>
      <c r="E86" s="8"/>
      <c r="F86" s="9"/>
      <c r="G86" s="9"/>
    </row>
    <row r="87" spans="2:7" ht="15.6">
      <c r="B87" s="60"/>
      <c r="C87" s="60"/>
      <c r="D87" s="8"/>
      <c r="E87" s="8"/>
      <c r="F87" s="9"/>
      <c r="G87" s="9"/>
    </row>
    <row r="88" spans="2:7" ht="15.6">
      <c r="B88" s="60"/>
      <c r="C88" s="60"/>
      <c r="D88" s="8"/>
      <c r="E88" s="8"/>
      <c r="F88" s="9"/>
      <c r="G88" s="9"/>
    </row>
    <row r="89" spans="2:7" ht="15.6">
      <c r="B89" s="60"/>
      <c r="C89" s="60"/>
      <c r="D89" s="8"/>
      <c r="E89" s="8"/>
      <c r="F89" s="9"/>
      <c r="G89" s="9"/>
    </row>
    <row r="90" spans="2:7" ht="15.6">
      <c r="B90" s="35"/>
      <c r="C90" s="35" t="s">
        <v>26</v>
      </c>
      <c r="D90" s="32" t="s">
        <v>5</v>
      </c>
      <c r="E90" s="32" t="s">
        <v>5</v>
      </c>
      <c r="F90" s="32" t="s">
        <v>5</v>
      </c>
      <c r="G90" s="62">
        <f>SUM(G79:G89)</f>
        <v>24987.3</v>
      </c>
    </row>
    <row r="98" spans="2:7" ht="15.6">
      <c r="B98" s="13"/>
      <c r="C98" s="320" t="s">
        <v>91</v>
      </c>
      <c r="D98" s="320"/>
      <c r="E98" s="320"/>
      <c r="F98" s="320"/>
      <c r="G98" s="320"/>
    </row>
    <row r="99" spans="2:7" ht="15.6">
      <c r="B99" s="13"/>
      <c r="C99" s="158"/>
      <c r="D99" s="13"/>
      <c r="E99" s="13"/>
      <c r="F99" s="64"/>
      <c r="G99" s="13"/>
    </row>
    <row r="100" spans="2:7" ht="21.6">
      <c r="B100" s="216" t="s">
        <v>2</v>
      </c>
      <c r="C100" s="216" t="s">
        <v>92</v>
      </c>
      <c r="D100" s="216" t="s">
        <v>93</v>
      </c>
      <c r="E100" s="216" t="s">
        <v>137</v>
      </c>
      <c r="F100" s="65" t="s">
        <v>94</v>
      </c>
      <c r="G100" s="43" t="s">
        <v>90</v>
      </c>
    </row>
    <row r="101" spans="2:7">
      <c r="B101" s="42">
        <v>1</v>
      </c>
      <c r="C101" s="42">
        <v>2</v>
      </c>
      <c r="D101" s="42">
        <v>3</v>
      </c>
      <c r="E101" s="42">
        <v>4</v>
      </c>
      <c r="F101" s="42" t="s">
        <v>81</v>
      </c>
      <c r="G101" s="42">
        <v>6</v>
      </c>
    </row>
    <row r="102" spans="2:7" ht="15.6">
      <c r="B102" s="40" t="s">
        <v>129</v>
      </c>
      <c r="C102" s="67" t="s">
        <v>132</v>
      </c>
      <c r="D102" s="40" t="s">
        <v>880</v>
      </c>
      <c r="E102" s="34">
        <v>6670</v>
      </c>
      <c r="F102" s="68">
        <v>6.5000000000000002E-2</v>
      </c>
      <c r="G102" s="34">
        <f>(D102*E102)+((D102*E102)*6.5%)</f>
        <v>191085.495</v>
      </c>
    </row>
    <row r="103" spans="2:7" ht="15.6">
      <c r="B103" s="8"/>
      <c r="C103" s="61"/>
      <c r="D103" s="8"/>
      <c r="E103" s="9"/>
      <c r="F103" s="66"/>
      <c r="G103" s="9"/>
    </row>
    <row r="104" spans="2:7" ht="15.6">
      <c r="B104" s="40" t="s">
        <v>12</v>
      </c>
      <c r="C104" s="67" t="s">
        <v>135</v>
      </c>
      <c r="D104" s="34">
        <f>D105</f>
        <v>113.9</v>
      </c>
      <c r="E104" s="34">
        <v>5010.59</v>
      </c>
      <c r="F104" s="34"/>
      <c r="G104" s="34">
        <f>G105</f>
        <v>607802.10406499996</v>
      </c>
    </row>
    <row r="105" spans="2:7" ht="15.6">
      <c r="B105" s="8" t="s">
        <v>16</v>
      </c>
      <c r="C105" s="61" t="s">
        <v>136</v>
      </c>
      <c r="D105" s="9">
        <f>113.9</f>
        <v>113.9</v>
      </c>
      <c r="E105" s="9">
        <v>5010.59</v>
      </c>
      <c r="F105" s="66">
        <v>6.5000000000000002E-2</v>
      </c>
      <c r="G105" s="9">
        <f>(D105*E105)+((D105*E105)*6.5%)</f>
        <v>607802.10406499996</v>
      </c>
    </row>
    <row r="106" spans="2:7" ht="15.6">
      <c r="B106" s="8"/>
      <c r="C106" s="61"/>
      <c r="D106" s="8"/>
      <c r="E106" s="9"/>
      <c r="F106" s="66"/>
      <c r="G106" s="9"/>
    </row>
    <row r="107" spans="2:7" ht="15.6">
      <c r="B107" s="40" t="s">
        <v>24</v>
      </c>
      <c r="C107" s="67" t="s">
        <v>134</v>
      </c>
      <c r="D107" s="34">
        <f>D108</f>
        <v>28.1</v>
      </c>
      <c r="E107" s="34">
        <f>E108</f>
        <v>30.06</v>
      </c>
      <c r="F107" s="34"/>
      <c r="G107" s="34">
        <f>G108</f>
        <v>899.59059000000002</v>
      </c>
    </row>
    <row r="108" spans="2:7" ht="15.6">
      <c r="B108" s="8" t="s">
        <v>75</v>
      </c>
      <c r="C108" s="61" t="s">
        <v>138</v>
      </c>
      <c r="D108" s="9">
        <v>28.1</v>
      </c>
      <c r="E108" s="9">
        <f>30.06</f>
        <v>30.06</v>
      </c>
      <c r="F108" s="66">
        <v>6.5000000000000002E-2</v>
      </c>
      <c r="G108" s="9">
        <f t="shared" ref="G108:G111" si="0">(D108*E108)+((D108*E108)*6.5%)</f>
        <v>899.59059000000002</v>
      </c>
    </row>
    <row r="109" spans="2:7" ht="15.6">
      <c r="B109" s="8"/>
      <c r="C109" s="61"/>
      <c r="D109" s="9"/>
      <c r="E109" s="9"/>
      <c r="F109" s="66"/>
      <c r="G109" s="9"/>
    </row>
    <row r="110" spans="2:7" ht="15.6">
      <c r="B110" s="40" t="s">
        <v>80</v>
      </c>
      <c r="C110" s="67" t="s">
        <v>133</v>
      </c>
      <c r="D110" s="34">
        <f>D111</f>
        <v>28.1</v>
      </c>
      <c r="E110" s="34">
        <f>E111</f>
        <v>27.93</v>
      </c>
      <c r="F110" s="34"/>
      <c r="G110" s="34">
        <f>G111</f>
        <v>835.84714500000007</v>
      </c>
    </row>
    <row r="111" spans="2:7" ht="15.6">
      <c r="B111" s="8" t="s">
        <v>75</v>
      </c>
      <c r="C111" s="61" t="s">
        <v>138</v>
      </c>
      <c r="D111" s="9">
        <v>28.1</v>
      </c>
      <c r="E111" s="9">
        <f>27.93</f>
        <v>27.93</v>
      </c>
      <c r="F111" s="66">
        <v>6.5000000000000002E-2</v>
      </c>
      <c r="G111" s="9">
        <f t="shared" si="0"/>
        <v>835.84714500000007</v>
      </c>
    </row>
    <row r="112" spans="2:7" ht="15.6">
      <c r="B112" s="8"/>
      <c r="C112" s="61"/>
      <c r="D112" s="8"/>
      <c r="E112" s="9"/>
      <c r="F112" s="66"/>
      <c r="G112" s="9"/>
    </row>
    <row r="113" spans="2:7" ht="15.6">
      <c r="B113" s="32"/>
      <c r="C113" s="31" t="s">
        <v>26</v>
      </c>
      <c r="D113" s="32" t="s">
        <v>5</v>
      </c>
      <c r="E113" s="32" t="s">
        <v>5</v>
      </c>
      <c r="F113" s="68" t="s">
        <v>5</v>
      </c>
      <c r="G113" s="34">
        <f>G102+G104+G107+G110</f>
        <v>800623.0368</v>
      </c>
    </row>
    <row r="126" spans="2:7">
      <c r="B126" s="321" t="s">
        <v>40</v>
      </c>
      <c r="C126" s="321"/>
      <c r="D126" s="321"/>
      <c r="E126" s="321"/>
      <c r="F126" s="321"/>
    </row>
    <row r="127" spans="2:7">
      <c r="B127" s="217"/>
      <c r="C127" s="12"/>
      <c r="D127" s="12"/>
      <c r="E127" s="12"/>
      <c r="F127" s="12"/>
    </row>
    <row r="128" spans="2:7">
      <c r="B128" s="217"/>
      <c r="C128" s="12"/>
      <c r="D128" s="12"/>
      <c r="E128" s="12"/>
      <c r="F128" s="12"/>
    </row>
    <row r="129" spans="2:6" ht="21.6">
      <c r="B129" s="218" t="s">
        <v>2</v>
      </c>
      <c r="C129" s="218" t="s">
        <v>34</v>
      </c>
      <c r="D129" s="218" t="s">
        <v>49</v>
      </c>
      <c r="E129" s="216" t="s">
        <v>50</v>
      </c>
      <c r="F129" s="216" t="s">
        <v>51</v>
      </c>
    </row>
    <row r="130" spans="2:6">
      <c r="B130" s="218">
        <v>1</v>
      </c>
      <c r="C130" s="218">
        <v>2</v>
      </c>
      <c r="D130" s="218">
        <v>3</v>
      </c>
      <c r="E130" s="216">
        <v>4</v>
      </c>
      <c r="F130" s="218">
        <v>5</v>
      </c>
    </row>
    <row r="131" spans="2:6" ht="24.6">
      <c r="B131" s="15">
        <v>1</v>
      </c>
      <c r="C131" s="16" t="s">
        <v>37</v>
      </c>
      <c r="D131" s="47" t="s">
        <v>196</v>
      </c>
      <c r="E131" s="15">
        <v>1</v>
      </c>
      <c r="F131" s="19">
        <v>0</v>
      </c>
    </row>
    <row r="132" spans="2:6" ht="24.6">
      <c r="B132" s="15">
        <v>2</v>
      </c>
      <c r="C132" s="16" t="s">
        <v>79</v>
      </c>
      <c r="D132" s="47" t="s">
        <v>196</v>
      </c>
      <c r="E132" s="15">
        <v>1</v>
      </c>
      <c r="F132" s="19">
        <v>4000</v>
      </c>
    </row>
    <row r="133" spans="2:6" ht="24.6">
      <c r="B133" s="15">
        <v>3</v>
      </c>
      <c r="C133" s="16" t="s">
        <v>38</v>
      </c>
      <c r="D133" s="47" t="s">
        <v>196</v>
      </c>
      <c r="E133" s="15">
        <v>2</v>
      </c>
      <c r="F133" s="19">
        <v>1000</v>
      </c>
    </row>
    <row r="134" spans="2:6" ht="24.6">
      <c r="B134" s="15">
        <v>4</v>
      </c>
      <c r="C134" s="17" t="s">
        <v>39</v>
      </c>
      <c r="D134" s="47" t="s">
        <v>196</v>
      </c>
      <c r="E134" s="15">
        <v>1</v>
      </c>
      <c r="F134" s="19">
        <v>1000</v>
      </c>
    </row>
    <row r="135" spans="2:6" ht="25.5" customHeight="1">
      <c r="B135" s="15">
        <v>5</v>
      </c>
      <c r="C135" s="18" t="s">
        <v>46</v>
      </c>
      <c r="D135" s="47" t="s">
        <v>196</v>
      </c>
      <c r="E135" s="15">
        <v>1</v>
      </c>
      <c r="F135" s="19">
        <v>0</v>
      </c>
    </row>
    <row r="136" spans="2:6" ht="24.6">
      <c r="B136" s="15">
        <v>6</v>
      </c>
      <c r="C136" s="307" t="s">
        <v>1539</v>
      </c>
      <c r="D136" s="47" t="s">
        <v>196</v>
      </c>
      <c r="E136" s="15">
        <v>2</v>
      </c>
      <c r="F136" s="19">
        <v>5000</v>
      </c>
    </row>
    <row r="137" spans="2:6" ht="24.6">
      <c r="B137" s="78">
        <v>7</v>
      </c>
      <c r="C137" s="82" t="s">
        <v>140</v>
      </c>
      <c r="D137" s="47" t="s">
        <v>196</v>
      </c>
      <c r="E137" s="78"/>
      <c r="F137" s="80">
        <f>SUM(F138:F139)</f>
        <v>40000</v>
      </c>
    </row>
    <row r="138" spans="2:6">
      <c r="B138" s="76" t="s">
        <v>143</v>
      </c>
      <c r="C138" s="17" t="s">
        <v>142</v>
      </c>
      <c r="D138" s="233" t="s">
        <v>127</v>
      </c>
      <c r="E138" s="73">
        <v>2</v>
      </c>
      <c r="F138" s="74">
        <v>40000</v>
      </c>
    </row>
    <row r="139" spans="2:6" ht="28.2" hidden="1">
      <c r="B139" s="76" t="s">
        <v>153</v>
      </c>
      <c r="C139" s="20" t="s">
        <v>154</v>
      </c>
      <c r="D139" s="173" t="s">
        <v>127</v>
      </c>
      <c r="E139" s="73">
        <v>1</v>
      </c>
      <c r="F139" s="74">
        <v>0</v>
      </c>
    </row>
    <row r="140" spans="2:6" ht="18.45" customHeight="1">
      <c r="B140" s="81" t="s">
        <v>183</v>
      </c>
      <c r="C140" s="20" t="s">
        <v>184</v>
      </c>
      <c r="D140" s="47" t="s">
        <v>196</v>
      </c>
      <c r="E140" s="73">
        <v>3</v>
      </c>
      <c r="F140" s="74">
        <v>4000</v>
      </c>
    </row>
    <row r="141" spans="2:6" ht="24.6">
      <c r="B141" s="81" t="s">
        <v>185</v>
      </c>
      <c r="C141" s="20" t="s">
        <v>186</v>
      </c>
      <c r="D141" s="47" t="s">
        <v>196</v>
      </c>
      <c r="E141" s="73">
        <v>2</v>
      </c>
      <c r="F141" s="74">
        <v>5000</v>
      </c>
    </row>
    <row r="142" spans="2:6" ht="28.2" hidden="1">
      <c r="B142" s="81" t="s">
        <v>191</v>
      </c>
      <c r="C142" s="20" t="s">
        <v>192</v>
      </c>
      <c r="D142" s="47" t="s">
        <v>196</v>
      </c>
      <c r="E142" s="73">
        <v>3</v>
      </c>
      <c r="F142" s="74">
        <v>0</v>
      </c>
    </row>
    <row r="143" spans="2:6" ht="24.6" hidden="1">
      <c r="B143" s="81" t="s">
        <v>193</v>
      </c>
      <c r="C143" s="20" t="s">
        <v>194</v>
      </c>
      <c r="D143" s="47" t="s">
        <v>196</v>
      </c>
      <c r="E143" s="73">
        <v>1</v>
      </c>
      <c r="F143" s="74">
        <v>0</v>
      </c>
    </row>
    <row r="144" spans="2:6" ht="24.6" hidden="1">
      <c r="B144" s="81" t="s">
        <v>123</v>
      </c>
      <c r="C144" s="20" t="s">
        <v>195</v>
      </c>
      <c r="D144" s="47" t="s">
        <v>196</v>
      </c>
      <c r="E144" s="73">
        <v>3</v>
      </c>
      <c r="F144" s="74">
        <v>0</v>
      </c>
    </row>
    <row r="145" spans="2:6">
      <c r="B145" s="71"/>
      <c r="C145" s="70" t="s">
        <v>26</v>
      </c>
      <c r="D145" s="234"/>
      <c r="E145" s="71" t="s">
        <v>5</v>
      </c>
      <c r="F145" s="72">
        <f>SUM(F131:F144)</f>
        <v>100000</v>
      </c>
    </row>
    <row r="163" spans="2:5">
      <c r="B163" s="321" t="s">
        <v>48</v>
      </c>
      <c r="C163" s="321"/>
      <c r="D163" s="321"/>
      <c r="E163" s="321"/>
    </row>
    <row r="164" spans="2:5">
      <c r="B164" s="12"/>
      <c r="C164" s="12"/>
      <c r="D164" s="12"/>
      <c r="E164" s="12"/>
    </row>
    <row r="165" spans="2:5">
      <c r="B165" s="12"/>
      <c r="C165" s="12"/>
      <c r="D165" s="12"/>
      <c r="E165" s="12"/>
    </row>
    <row r="166" spans="2:5" ht="21.6">
      <c r="B166" s="218" t="s">
        <v>2</v>
      </c>
      <c r="C166" s="218" t="s">
        <v>34</v>
      </c>
      <c r="D166" s="216" t="s">
        <v>35</v>
      </c>
      <c r="E166" s="216" t="s">
        <v>36</v>
      </c>
    </row>
    <row r="167" spans="2:5">
      <c r="B167" s="218">
        <v>1</v>
      </c>
      <c r="C167" s="218">
        <v>2</v>
      </c>
      <c r="D167" s="216">
        <v>3</v>
      </c>
      <c r="E167" s="216">
        <v>4</v>
      </c>
    </row>
    <row r="168" spans="2:5" hidden="1">
      <c r="B168" s="15">
        <v>1</v>
      </c>
      <c r="C168" s="16" t="s">
        <v>52</v>
      </c>
      <c r="D168" s="15">
        <v>1</v>
      </c>
      <c r="E168" s="19">
        <v>0</v>
      </c>
    </row>
    <row r="169" spans="2:5" ht="27.75" customHeight="1">
      <c r="B169" s="78">
        <v>2</v>
      </c>
      <c r="C169" s="79" t="s">
        <v>171</v>
      </c>
      <c r="D169" s="78"/>
      <c r="E169" s="80">
        <f>SUM(E170:E177)</f>
        <v>30000</v>
      </c>
    </row>
    <row r="170" spans="2:5">
      <c r="B170" s="76" t="s">
        <v>14</v>
      </c>
      <c r="C170" s="20" t="s">
        <v>175</v>
      </c>
      <c r="D170" s="73">
        <v>1</v>
      </c>
      <c r="E170" s="74">
        <v>0</v>
      </c>
    </row>
    <row r="171" spans="2:5">
      <c r="B171" s="83" t="s">
        <v>16</v>
      </c>
      <c r="C171" s="17" t="s">
        <v>172</v>
      </c>
      <c r="D171" s="15">
        <v>4</v>
      </c>
      <c r="E171" s="19">
        <v>10000</v>
      </c>
    </row>
    <row r="172" spans="2:5">
      <c r="B172" s="83" t="s">
        <v>18</v>
      </c>
      <c r="C172" s="18" t="s">
        <v>173</v>
      </c>
      <c r="D172" s="15">
        <v>1</v>
      </c>
      <c r="E172" s="19">
        <v>0</v>
      </c>
    </row>
    <row r="173" spans="2:5">
      <c r="B173" s="83" t="s">
        <v>19</v>
      </c>
      <c r="C173" s="16" t="s">
        <v>174</v>
      </c>
      <c r="D173" s="15">
        <v>2</v>
      </c>
      <c r="E173" s="19">
        <f>10000</f>
        <v>10000</v>
      </c>
    </row>
    <row r="174" spans="2:5">
      <c r="B174" s="83" t="s">
        <v>23</v>
      </c>
      <c r="C174" s="16" t="s">
        <v>176</v>
      </c>
      <c r="D174" s="15">
        <v>1</v>
      </c>
      <c r="E174" s="19">
        <v>0</v>
      </c>
    </row>
    <row r="175" spans="2:5">
      <c r="B175" s="83" t="s">
        <v>177</v>
      </c>
      <c r="C175" s="16" t="s">
        <v>178</v>
      </c>
      <c r="D175" s="15">
        <v>1</v>
      </c>
      <c r="E175" s="19">
        <v>0</v>
      </c>
    </row>
    <row r="176" spans="2:5">
      <c r="B176" s="83" t="s">
        <v>179</v>
      </c>
      <c r="C176" s="16" t="s">
        <v>180</v>
      </c>
      <c r="D176" s="15">
        <v>1</v>
      </c>
      <c r="E176" s="19">
        <v>0</v>
      </c>
    </row>
    <row r="177" spans="2:5">
      <c r="B177" s="83" t="s">
        <v>181</v>
      </c>
      <c r="C177" s="16" t="s">
        <v>182</v>
      </c>
      <c r="D177" s="15">
        <v>1</v>
      </c>
      <c r="E177" s="19">
        <v>10000</v>
      </c>
    </row>
    <row r="178" spans="2:5">
      <c r="B178" s="77" t="s">
        <v>24</v>
      </c>
      <c r="C178" s="16" t="s">
        <v>187</v>
      </c>
      <c r="D178" s="15">
        <v>2</v>
      </c>
      <c r="E178" s="19">
        <v>5000</v>
      </c>
    </row>
    <row r="179" spans="2:5">
      <c r="B179" s="77" t="s">
        <v>81</v>
      </c>
      <c r="C179" s="18" t="s">
        <v>881</v>
      </c>
      <c r="D179" s="15">
        <v>1</v>
      </c>
      <c r="E179" s="19">
        <f>50000</f>
        <v>50000</v>
      </c>
    </row>
    <row r="180" spans="2:5" ht="13.2" customHeight="1">
      <c r="B180" s="77" t="s">
        <v>126</v>
      </c>
      <c r="C180" s="18" t="s">
        <v>189</v>
      </c>
      <c r="D180" s="15">
        <v>2</v>
      </c>
      <c r="E180" s="19">
        <v>15000</v>
      </c>
    </row>
    <row r="181" spans="2:5">
      <c r="B181" s="69"/>
      <c r="C181" s="70" t="s">
        <v>26</v>
      </c>
      <c r="D181" s="71" t="s">
        <v>5</v>
      </c>
      <c r="E181" s="72">
        <f>E168+E169+E178+E179+E180</f>
        <v>100000</v>
      </c>
    </row>
    <row r="194" spans="2:6">
      <c r="B194" s="321" t="s">
        <v>56</v>
      </c>
      <c r="C194" s="321"/>
      <c r="D194" s="321"/>
      <c r="E194" s="321"/>
      <c r="F194" s="321"/>
    </row>
    <row r="195" spans="2:6">
      <c r="B195" s="12"/>
      <c r="C195" s="12"/>
      <c r="D195" s="12"/>
      <c r="E195" s="12"/>
      <c r="F195" s="12"/>
    </row>
    <row r="196" spans="2:6">
      <c r="B196" s="12"/>
      <c r="C196" s="12"/>
      <c r="D196" s="12"/>
      <c r="E196" s="12"/>
      <c r="F196" s="12"/>
    </row>
    <row r="197" spans="2:6" ht="21.6">
      <c r="B197" s="218" t="s">
        <v>2</v>
      </c>
      <c r="C197" s="218" t="s">
        <v>34</v>
      </c>
      <c r="D197" s="218" t="s">
        <v>53</v>
      </c>
      <c r="E197" s="216" t="s">
        <v>54</v>
      </c>
      <c r="F197" s="216" t="s">
        <v>55</v>
      </c>
    </row>
    <row r="198" spans="2:6">
      <c r="B198" s="218"/>
      <c r="C198" s="218">
        <v>1</v>
      </c>
      <c r="D198" s="218">
        <v>2</v>
      </c>
      <c r="E198" s="216">
        <v>3</v>
      </c>
      <c r="F198" s="218">
        <v>4</v>
      </c>
    </row>
    <row r="199" spans="2:6">
      <c r="B199" s="15">
        <v>1</v>
      </c>
      <c r="C199" s="16" t="s">
        <v>882</v>
      </c>
      <c r="D199" s="16"/>
      <c r="E199" s="15"/>
      <c r="F199" s="19">
        <v>192000</v>
      </c>
    </row>
    <row r="200" spans="2:6">
      <c r="B200" s="15">
        <v>2</v>
      </c>
      <c r="C200" s="16" t="s">
        <v>883</v>
      </c>
      <c r="D200" s="16"/>
      <c r="E200" s="15"/>
      <c r="F200" s="19">
        <f>15000</f>
        <v>15000</v>
      </c>
    </row>
    <row r="201" spans="2:6" ht="33.75" customHeight="1">
      <c r="B201" s="15">
        <v>3</v>
      </c>
      <c r="C201" s="18" t="s">
        <v>884</v>
      </c>
      <c r="D201" s="18"/>
      <c r="E201" s="15"/>
      <c r="F201" s="19">
        <v>220000</v>
      </c>
    </row>
    <row r="202" spans="2:6">
      <c r="B202" s="15">
        <v>4</v>
      </c>
      <c r="C202" s="16" t="s">
        <v>885</v>
      </c>
      <c r="D202" s="16"/>
      <c r="E202" s="15"/>
      <c r="F202" s="19">
        <v>20000</v>
      </c>
    </row>
    <row r="203" spans="2:6">
      <c r="B203" s="15">
        <v>5</v>
      </c>
      <c r="C203" s="16" t="s">
        <v>886</v>
      </c>
      <c r="D203" s="16"/>
      <c r="E203" s="15"/>
      <c r="F203" s="19">
        <v>0</v>
      </c>
    </row>
    <row r="204" spans="2:6">
      <c r="B204" s="15">
        <v>6</v>
      </c>
      <c r="C204" s="16" t="s">
        <v>887</v>
      </c>
      <c r="D204" s="16"/>
      <c r="E204" s="15"/>
      <c r="F204" s="19">
        <v>20000</v>
      </c>
    </row>
    <row r="205" spans="2:6">
      <c r="B205" s="15">
        <v>7</v>
      </c>
      <c r="C205" s="16" t="s">
        <v>888</v>
      </c>
      <c r="D205" s="16"/>
      <c r="E205" s="15"/>
      <c r="F205" s="19">
        <v>0</v>
      </c>
    </row>
    <row r="206" spans="2:6">
      <c r="B206" s="15"/>
      <c r="C206" s="16"/>
      <c r="D206" s="16"/>
      <c r="E206" s="15"/>
      <c r="F206" s="19"/>
    </row>
    <row r="207" spans="2:6">
      <c r="B207" s="15"/>
      <c r="C207" s="16"/>
      <c r="D207" s="16"/>
      <c r="E207" s="15"/>
      <c r="F207" s="19"/>
    </row>
    <row r="208" spans="2:6">
      <c r="B208" s="69"/>
      <c r="C208" s="70" t="s">
        <v>26</v>
      </c>
      <c r="D208" s="70"/>
      <c r="E208" s="71" t="s">
        <v>5</v>
      </c>
      <c r="F208" s="72">
        <f>SUM(F199:F207)</f>
        <v>467000</v>
      </c>
    </row>
  </sheetData>
  <mergeCells count="10">
    <mergeCell ref="C98:G98"/>
    <mergeCell ref="B126:F126"/>
    <mergeCell ref="B163:E163"/>
    <mergeCell ref="B194:F194"/>
    <mergeCell ref="D72:F72"/>
    <mergeCell ref="B1:G1"/>
    <mergeCell ref="B24:E24"/>
    <mergeCell ref="C40:E40"/>
    <mergeCell ref="C43:F43"/>
    <mergeCell ref="B69:F6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L82"/>
  <sheetViews>
    <sheetView topLeftCell="A41" workbookViewId="0">
      <selection activeCell="F81" sqref="F81"/>
    </sheetView>
  </sheetViews>
  <sheetFormatPr defaultRowHeight="14.4"/>
  <cols>
    <col min="1" max="1" width="6.6640625" customWidth="1"/>
    <col min="2" max="2" width="4.88671875" customWidth="1"/>
    <col min="3" max="3" width="22.6640625" customWidth="1"/>
    <col min="4" max="4" width="14.109375" customWidth="1"/>
    <col min="5" max="5" width="11.6640625" customWidth="1"/>
    <col min="6" max="6" width="11.44140625" customWidth="1"/>
    <col min="7" max="7" width="11.5546875" customWidth="1"/>
    <col min="8" max="8" width="11.44140625" customWidth="1"/>
    <col min="9" max="9" width="13.5546875" customWidth="1"/>
    <col min="10" max="10" width="14.88671875" customWidth="1"/>
    <col min="11" max="11" width="18.109375" customWidth="1"/>
  </cols>
  <sheetData>
    <row r="1" spans="2:11" hidden="1"/>
    <row r="2" spans="2:11" ht="15.6" hidden="1">
      <c r="B2" s="320" t="s">
        <v>108</v>
      </c>
      <c r="C2" s="320"/>
      <c r="D2" s="320"/>
      <c r="E2" s="320"/>
      <c r="F2" s="320"/>
      <c r="G2" s="320"/>
      <c r="H2" s="320"/>
      <c r="I2" s="320"/>
      <c r="J2" s="320"/>
      <c r="K2" s="320"/>
    </row>
    <row r="3" spans="2:11" ht="15.6" hidden="1">
      <c r="B3" s="13"/>
      <c r="C3" s="13"/>
      <c r="D3" s="13"/>
      <c r="E3" s="13"/>
      <c r="F3" s="13"/>
      <c r="G3" s="13"/>
      <c r="H3" s="13"/>
      <c r="I3" s="13"/>
      <c r="J3" s="13"/>
      <c r="K3" s="13"/>
    </row>
    <row r="4" spans="2:11" ht="15.6" hidden="1">
      <c r="B4" s="59" t="s">
        <v>826</v>
      </c>
      <c r="C4" s="59"/>
      <c r="D4" s="59"/>
      <c r="E4" s="168"/>
      <c r="F4" s="13"/>
      <c r="G4" s="13"/>
      <c r="H4" s="13"/>
      <c r="I4" s="13"/>
      <c r="J4" s="13"/>
      <c r="K4" s="13"/>
    </row>
    <row r="5" spans="2:11" ht="15.6" hidden="1">
      <c r="B5" s="59" t="s">
        <v>828</v>
      </c>
      <c r="C5" s="59"/>
      <c r="D5" s="59"/>
      <c r="E5" s="168" t="s">
        <v>827</v>
      </c>
      <c r="F5" s="13"/>
      <c r="G5" s="13"/>
      <c r="H5" s="13"/>
      <c r="I5" s="13"/>
      <c r="J5" s="13"/>
      <c r="K5" s="13"/>
    </row>
    <row r="6" spans="2:11" ht="15.6" hidden="1">
      <c r="B6" s="13"/>
      <c r="C6" s="13"/>
      <c r="D6" s="13"/>
      <c r="E6" s="13"/>
      <c r="F6" s="13"/>
      <c r="G6" s="13"/>
      <c r="H6" s="13"/>
      <c r="I6" s="13"/>
      <c r="J6" s="13"/>
      <c r="K6" s="13"/>
    </row>
    <row r="7" spans="2:11" ht="15.6" hidden="1">
      <c r="B7" s="320" t="s">
        <v>773</v>
      </c>
      <c r="C7" s="320"/>
      <c r="D7" s="320"/>
      <c r="E7" s="320"/>
      <c r="F7" s="320"/>
      <c r="G7" s="320"/>
      <c r="H7" s="320"/>
      <c r="I7" s="320"/>
      <c r="J7" s="320"/>
      <c r="K7" s="320"/>
    </row>
    <row r="8" spans="2:11" ht="15.6" hidden="1">
      <c r="B8" s="13"/>
      <c r="C8" s="13"/>
      <c r="D8" s="13"/>
      <c r="E8" s="13"/>
      <c r="F8" s="13"/>
      <c r="G8" s="13"/>
      <c r="H8" s="13"/>
      <c r="I8" s="13"/>
      <c r="J8" s="13"/>
      <c r="K8" s="13"/>
    </row>
    <row r="9" spans="2:11" s="57" customFormat="1" ht="20.25" hidden="1" customHeight="1">
      <c r="B9" s="314" t="s">
        <v>2</v>
      </c>
      <c r="C9" s="314" t="s">
        <v>110</v>
      </c>
      <c r="D9" s="314" t="s">
        <v>111</v>
      </c>
      <c r="E9" s="314" t="s">
        <v>112</v>
      </c>
      <c r="F9" s="314"/>
      <c r="G9" s="314"/>
      <c r="H9" s="314"/>
      <c r="I9" s="315" t="s">
        <v>119</v>
      </c>
      <c r="J9" s="315" t="s">
        <v>113</v>
      </c>
      <c r="K9" s="315" t="s">
        <v>120</v>
      </c>
    </row>
    <row r="10" spans="2:11" s="57" customFormat="1" ht="9.6" hidden="1">
      <c r="B10" s="314"/>
      <c r="C10" s="314"/>
      <c r="D10" s="314"/>
      <c r="E10" s="314" t="s">
        <v>114</v>
      </c>
      <c r="F10" s="318" t="s">
        <v>115</v>
      </c>
      <c r="G10" s="318"/>
      <c r="H10" s="318"/>
      <c r="I10" s="316"/>
      <c r="J10" s="316"/>
      <c r="K10" s="316"/>
    </row>
    <row r="11" spans="2:11" s="58" customFormat="1" ht="34.65" hidden="1" customHeight="1">
      <c r="B11" s="314"/>
      <c r="C11" s="314"/>
      <c r="D11" s="314"/>
      <c r="E11" s="314"/>
      <c r="F11" s="2" t="s">
        <v>116</v>
      </c>
      <c r="G11" s="2" t="s">
        <v>117</v>
      </c>
      <c r="H11" s="2" t="s">
        <v>118</v>
      </c>
      <c r="I11" s="317"/>
      <c r="J11" s="317"/>
      <c r="K11" s="317"/>
    </row>
    <row r="12" spans="2:11" s="54" customFormat="1" ht="10.5" hidden="1" customHeight="1">
      <c r="B12" s="55">
        <v>1</v>
      </c>
      <c r="C12" s="55">
        <v>2</v>
      </c>
      <c r="D12" s="55">
        <v>3</v>
      </c>
      <c r="E12" s="55">
        <v>4</v>
      </c>
      <c r="F12" s="55">
        <v>5</v>
      </c>
      <c r="G12" s="55">
        <v>6</v>
      </c>
      <c r="H12" s="55">
        <v>7</v>
      </c>
      <c r="I12" s="55">
        <v>8</v>
      </c>
      <c r="J12" s="55">
        <v>9</v>
      </c>
      <c r="K12" s="55">
        <v>10</v>
      </c>
    </row>
    <row r="13" spans="2:11" ht="15.6" hidden="1">
      <c r="B13" s="5">
        <v>1</v>
      </c>
      <c r="C13" s="5" t="s">
        <v>198</v>
      </c>
      <c r="D13" s="5">
        <v>109.75</v>
      </c>
      <c r="E13" s="5"/>
      <c r="F13" s="5">
        <v>1013803.92</v>
      </c>
      <c r="G13" s="5">
        <f>54478.69+198178.24+94511.26+10875.27</f>
        <v>358043.46</v>
      </c>
      <c r="H13" s="5"/>
      <c r="I13" s="5">
        <v>411554.21</v>
      </c>
      <c r="J13" s="5">
        <v>411554.21</v>
      </c>
      <c r="K13" s="5"/>
    </row>
    <row r="14" spans="2:11" ht="15.6" hidden="1">
      <c r="B14" s="5"/>
      <c r="C14" s="5"/>
      <c r="D14" s="5"/>
      <c r="E14" s="5"/>
      <c r="F14" s="5"/>
      <c r="G14" s="5"/>
      <c r="H14" s="11">
        <v>191164.14</v>
      </c>
      <c r="I14" s="11">
        <f>H14*0.3</f>
        <v>57349.242000000006</v>
      </c>
      <c r="J14" s="11">
        <f>H14*0.3</f>
        <v>57349.242000000006</v>
      </c>
      <c r="K14" s="5"/>
    </row>
    <row r="15" spans="2:11" ht="15.6" hidden="1">
      <c r="B15" s="5"/>
      <c r="C15" s="5"/>
      <c r="D15" s="5"/>
      <c r="E15" s="5"/>
      <c r="F15" s="5"/>
      <c r="G15" s="5"/>
      <c r="H15" s="11">
        <f>(5118215.33/12)</f>
        <v>426517.94416666665</v>
      </c>
      <c r="I15" s="11">
        <f>H15*0.3</f>
        <v>127955.38324999998</v>
      </c>
      <c r="J15" s="11">
        <f>H15*0.3</f>
        <v>127955.38324999998</v>
      </c>
      <c r="K15" s="5"/>
    </row>
    <row r="16" spans="2:11" ht="15.6" hidden="1">
      <c r="B16" s="5"/>
      <c r="C16" s="5" t="s">
        <v>200</v>
      </c>
      <c r="D16" s="5"/>
      <c r="E16" s="5"/>
      <c r="F16" s="5">
        <f t="shared" ref="F16:J16" si="0">SUM(F12:F15)</f>
        <v>1013808.92</v>
      </c>
      <c r="G16" s="5">
        <f t="shared" si="0"/>
        <v>358049.46</v>
      </c>
      <c r="H16" s="11">
        <f t="shared" si="0"/>
        <v>617689.08416666673</v>
      </c>
      <c r="I16" s="11">
        <f t="shared" si="0"/>
        <v>596866.83525</v>
      </c>
      <c r="J16" s="11">
        <f t="shared" si="0"/>
        <v>596867.83525</v>
      </c>
      <c r="K16" s="11">
        <f>(F16+G16+H16+I16+J16)*12</f>
        <v>38199385.616000004</v>
      </c>
    </row>
    <row r="17" spans="2:11" ht="15.6" hidden="1">
      <c r="B17" s="35"/>
      <c r="C17" s="35" t="s">
        <v>203</v>
      </c>
      <c r="D17" s="35"/>
      <c r="E17" s="35"/>
      <c r="F17" s="35">
        <f>F16*L37</f>
        <v>1406839.8109820853</v>
      </c>
      <c r="G17" s="35">
        <f>G16*L37</f>
        <v>496857.173666057</v>
      </c>
      <c r="H17" s="62">
        <f>H16*L37</f>
        <v>857153.23397897382</v>
      </c>
      <c r="I17" s="62">
        <f>I16*L37</f>
        <v>828258.66799888224</v>
      </c>
      <c r="J17" s="62">
        <f>J16*L37</f>
        <v>828260.05567636585</v>
      </c>
      <c r="K17" s="62">
        <f>(F17+G17+H17+I17+J17)*12</f>
        <v>53008427.307628378</v>
      </c>
    </row>
    <row r="18" spans="2:11" ht="15.6" hidden="1">
      <c r="B18" s="5"/>
      <c r="C18" s="5"/>
      <c r="D18" s="5"/>
      <c r="E18" s="5"/>
      <c r="F18" s="5"/>
      <c r="G18" s="5"/>
      <c r="H18" s="11"/>
      <c r="I18" s="11"/>
      <c r="J18" s="11"/>
      <c r="K18" s="5"/>
    </row>
    <row r="19" spans="2:11" ht="15.6" hidden="1">
      <c r="B19" s="5">
        <v>2</v>
      </c>
      <c r="C19" s="5" t="s">
        <v>199</v>
      </c>
      <c r="D19" s="5">
        <v>293.5</v>
      </c>
      <c r="E19" s="5"/>
      <c r="F19" s="5">
        <v>1939934.62</v>
      </c>
      <c r="G19" s="5">
        <f>104294.62+377747.87+288991.29+40659.84</f>
        <v>811693.62</v>
      </c>
      <c r="H19" s="11"/>
      <c r="I19" s="11">
        <v>825488.47</v>
      </c>
      <c r="J19" s="11">
        <v>825488.47</v>
      </c>
      <c r="K19" s="5"/>
    </row>
    <row r="20" spans="2:11" ht="15.6" hidden="1">
      <c r="B20" s="5"/>
      <c r="C20" s="5"/>
      <c r="D20" s="5"/>
      <c r="E20" s="5"/>
      <c r="F20" s="5"/>
      <c r="G20" s="5"/>
      <c r="H20" s="11">
        <v>392745.68</v>
      </c>
      <c r="I20" s="11">
        <f>H20*0.3</f>
        <v>117823.704</v>
      </c>
      <c r="J20" s="11">
        <f>H20*0.3</f>
        <v>117823.704</v>
      </c>
      <c r="K20" s="5"/>
    </row>
    <row r="21" spans="2:11" ht="15.6" hidden="1">
      <c r="B21" s="5"/>
      <c r="C21" s="5"/>
      <c r="D21" s="5"/>
      <c r="E21" s="5"/>
      <c r="F21" s="5"/>
      <c r="G21" s="5"/>
      <c r="H21" s="11">
        <v>215195.7</v>
      </c>
      <c r="I21" s="11">
        <f>H21*0.3</f>
        <v>64558.71</v>
      </c>
      <c r="J21" s="11">
        <f>H21*0.3</f>
        <v>64558.71</v>
      </c>
      <c r="K21" s="5"/>
    </row>
    <row r="22" spans="2:11" ht="15.6" hidden="1">
      <c r="B22" s="5"/>
      <c r="C22" s="5" t="s">
        <v>200</v>
      </c>
      <c r="D22" s="5"/>
      <c r="E22" s="5"/>
      <c r="F22" s="5">
        <f t="shared" ref="F22:J22" si="1">SUM(F19:F21)</f>
        <v>1939934.62</v>
      </c>
      <c r="G22" s="5">
        <f t="shared" si="1"/>
        <v>811693.62</v>
      </c>
      <c r="H22" s="11">
        <f t="shared" si="1"/>
        <v>607941.38</v>
      </c>
      <c r="I22" s="11">
        <f t="shared" si="1"/>
        <v>1007870.884</v>
      </c>
      <c r="J22" s="11">
        <f t="shared" si="1"/>
        <v>1007870.884</v>
      </c>
      <c r="K22" s="11">
        <f>(F22+G22+H22+I22+J22)*12</f>
        <v>64503736.655999988</v>
      </c>
    </row>
    <row r="23" spans="2:11" ht="15.6" hidden="1">
      <c r="B23" s="5"/>
      <c r="C23" s="35" t="s">
        <v>203</v>
      </c>
      <c r="D23" s="35"/>
      <c r="E23" s="35"/>
      <c r="F23" s="35">
        <f>F22*L37</f>
        <v>2692003.5918784412</v>
      </c>
      <c r="G23" s="62">
        <f>G22*L37</f>
        <v>1126368.9600759919</v>
      </c>
      <c r="H23" s="62">
        <f>H22*L37</f>
        <v>843626.56438985362</v>
      </c>
      <c r="I23" s="62">
        <f>I22*L37</f>
        <v>1398599.732127931</v>
      </c>
      <c r="J23" s="62">
        <f>J22*L37</f>
        <v>1398599.732127931</v>
      </c>
      <c r="K23" s="62">
        <f>(F23+G23+H23+I23+J23)*12</f>
        <v>89510382.967201784</v>
      </c>
    </row>
    <row r="24" spans="2:11" ht="15.6" hidden="1">
      <c r="B24" s="5"/>
      <c r="C24" s="5"/>
      <c r="D24" s="5"/>
      <c r="E24" s="5"/>
      <c r="F24" s="5"/>
      <c r="G24" s="5"/>
      <c r="H24" s="11"/>
      <c r="I24" s="11"/>
      <c r="J24" s="11"/>
      <c r="K24" s="5"/>
    </row>
    <row r="25" spans="2:11" ht="15.6" hidden="1">
      <c r="B25" s="5">
        <v>3</v>
      </c>
      <c r="C25" s="5" t="s">
        <v>201</v>
      </c>
      <c r="D25" s="5">
        <v>68.5</v>
      </c>
      <c r="E25" s="5"/>
      <c r="F25" s="5">
        <v>292389.3</v>
      </c>
      <c r="G25" s="5">
        <f>27830.82+67238.83+73883.29+13244.13</f>
        <v>182197.07</v>
      </c>
      <c r="H25" s="11"/>
      <c r="I25" s="11">
        <v>142375.91</v>
      </c>
      <c r="J25" s="11">
        <v>142375.91</v>
      </c>
      <c r="K25" s="5"/>
    </row>
    <row r="26" spans="2:11" ht="15.6" hidden="1">
      <c r="B26" s="5"/>
      <c r="C26" s="5"/>
      <c r="D26" s="5"/>
      <c r="E26" s="5"/>
      <c r="F26" s="5"/>
      <c r="G26" s="5"/>
      <c r="H26" s="11">
        <v>65963.67</v>
      </c>
      <c r="I26" s="11">
        <f>H26*0.3</f>
        <v>19789.100999999999</v>
      </c>
      <c r="J26" s="11">
        <f>H26*0.3</f>
        <v>19789.100999999999</v>
      </c>
      <c r="K26" s="5"/>
    </row>
    <row r="27" spans="2:11" ht="15.6" hidden="1">
      <c r="B27" s="5"/>
      <c r="C27" s="5" t="s">
        <v>200</v>
      </c>
      <c r="D27" s="5"/>
      <c r="E27" s="5"/>
      <c r="F27" s="5">
        <f t="shared" ref="F27:J27" si="2">SUM(F25:F26)</f>
        <v>292389.3</v>
      </c>
      <c r="G27" s="5">
        <f t="shared" si="2"/>
        <v>182197.07</v>
      </c>
      <c r="H27" s="11">
        <f t="shared" si="2"/>
        <v>65963.67</v>
      </c>
      <c r="I27" s="11">
        <f t="shared" si="2"/>
        <v>162165.011</v>
      </c>
      <c r="J27" s="11">
        <f t="shared" si="2"/>
        <v>162165.011</v>
      </c>
      <c r="K27" s="11">
        <f>(F27+G27+H27+I27+J27)*12</f>
        <v>10378560.743999999</v>
      </c>
    </row>
    <row r="28" spans="2:11" ht="15.6" hidden="1">
      <c r="B28" s="5"/>
      <c r="C28" s="35" t="s">
        <v>203</v>
      </c>
      <c r="D28" s="35"/>
      <c r="E28" s="35"/>
      <c r="F28" s="35">
        <f>F27*L37</f>
        <v>405742.04806284816</v>
      </c>
      <c r="G28" s="35">
        <f>G27*L37</f>
        <v>252830.77162143114</v>
      </c>
      <c r="H28" s="62">
        <f>H27*L37</f>
        <v>91536.299596263794</v>
      </c>
      <c r="I28" s="62">
        <f>I27*L37</f>
        <v>225032.73439648544</v>
      </c>
      <c r="J28" s="62">
        <f>J27*L37</f>
        <v>225032.73439648544</v>
      </c>
      <c r="K28" s="62">
        <f>(F28+G28+H28+I28+J28)*12</f>
        <v>14402095.056882167</v>
      </c>
    </row>
    <row r="29" spans="2:11" ht="15.6" hidden="1">
      <c r="B29" s="5"/>
      <c r="C29" s="5"/>
      <c r="D29" s="5"/>
      <c r="E29" s="5"/>
      <c r="F29" s="5"/>
      <c r="G29" s="5"/>
      <c r="H29" s="11"/>
      <c r="I29" s="11"/>
      <c r="J29" s="11"/>
      <c r="K29" s="5"/>
    </row>
    <row r="30" spans="2:11" ht="15.6" hidden="1">
      <c r="B30" s="5">
        <v>4</v>
      </c>
      <c r="C30" s="5" t="s">
        <v>202</v>
      </c>
      <c r="D30" s="5">
        <v>163.75</v>
      </c>
      <c r="E30" s="5"/>
      <c r="F30" s="5">
        <v>868635.4</v>
      </c>
      <c r="G30" s="5">
        <f>8206.75+188261.31+52285.46+15024.19</f>
        <v>263777.70999999996</v>
      </c>
      <c r="H30" s="5"/>
      <c r="I30" s="5">
        <v>339723.93</v>
      </c>
      <c r="J30" s="5">
        <v>339723.93</v>
      </c>
      <c r="K30" s="5"/>
    </row>
    <row r="31" spans="2:11" ht="15.6" hidden="1">
      <c r="B31" s="5"/>
      <c r="C31" s="5"/>
      <c r="D31" s="5"/>
      <c r="E31" s="5"/>
      <c r="F31" s="5"/>
      <c r="G31" s="5"/>
      <c r="H31" s="5">
        <v>119965.2</v>
      </c>
      <c r="I31" s="5">
        <f>H31*0.3</f>
        <v>35989.56</v>
      </c>
      <c r="J31" s="5">
        <f>H31*0.3</f>
        <v>35989.56</v>
      </c>
      <c r="K31" s="5"/>
    </row>
    <row r="32" spans="2:11" ht="15.6" hidden="1">
      <c r="B32" s="5"/>
      <c r="C32" s="5"/>
      <c r="D32" s="5"/>
      <c r="E32" s="5"/>
      <c r="F32" s="5"/>
      <c r="G32" s="5"/>
      <c r="H32" s="5">
        <v>25536.59</v>
      </c>
      <c r="I32" s="11">
        <f>H32*0.3</f>
        <v>7660.9769999999999</v>
      </c>
      <c r="J32" s="11">
        <f>H32*0.3</f>
        <v>7660.9769999999999</v>
      </c>
      <c r="K32" s="5"/>
    </row>
    <row r="33" spans="1:12" ht="15.6" hidden="1">
      <c r="B33" s="5"/>
      <c r="C33" s="5" t="s">
        <v>200</v>
      </c>
      <c r="D33" s="5"/>
      <c r="E33" s="5"/>
      <c r="F33" s="5">
        <f t="shared" ref="F33:J33" si="3">SUM(F30:F32)</f>
        <v>868635.4</v>
      </c>
      <c r="G33" s="5">
        <f t="shared" si="3"/>
        <v>263777.70999999996</v>
      </c>
      <c r="H33" s="5">
        <f t="shared" si="3"/>
        <v>145501.79</v>
      </c>
      <c r="I33" s="11">
        <f t="shared" si="3"/>
        <v>383374.467</v>
      </c>
      <c r="J33" s="11">
        <f t="shared" si="3"/>
        <v>383374.467</v>
      </c>
      <c r="K33" s="11">
        <f>(F33+G33+H33+I33+J33)*12</f>
        <v>24535966.007999998</v>
      </c>
    </row>
    <row r="34" spans="1:12" ht="15.6" hidden="1">
      <c r="B34" s="5"/>
      <c r="C34" s="35" t="s">
        <v>203</v>
      </c>
      <c r="D34" s="35"/>
      <c r="E34" s="35"/>
      <c r="F34" s="35">
        <f>F33*L37</f>
        <v>1205385.7860595151</v>
      </c>
      <c r="G34" s="35">
        <f>G33*L37</f>
        <v>366038.38884914055</v>
      </c>
      <c r="H34" s="62">
        <f>H33*L37</f>
        <v>201909.55781011973</v>
      </c>
      <c r="I34" s="62">
        <f>I33*L37</f>
        <v>532000.11565260019</v>
      </c>
      <c r="J34" s="62">
        <f>J33*L37</f>
        <v>532000.11565260019</v>
      </c>
      <c r="K34" s="62">
        <f>(F34+G34+H34+I34+J34)*12</f>
        <v>34048007.568287715</v>
      </c>
    </row>
    <row r="35" spans="1:12" ht="15.6" hidden="1">
      <c r="B35" s="5"/>
      <c r="C35" s="5" t="s">
        <v>200</v>
      </c>
      <c r="D35" s="5"/>
      <c r="E35" s="5"/>
      <c r="F35" s="5"/>
      <c r="G35" s="5"/>
      <c r="H35" s="5"/>
      <c r="I35" s="5"/>
      <c r="J35" s="5"/>
      <c r="K35" s="11"/>
    </row>
    <row r="36" spans="1:12" ht="15.6" hidden="1">
      <c r="B36" s="5"/>
      <c r="C36" s="35" t="s">
        <v>203</v>
      </c>
      <c r="D36" s="5">
        <f>D13+D19+D25+D30</f>
        <v>635.5</v>
      </c>
      <c r="E36" s="5"/>
      <c r="F36" s="5">
        <f t="shared" ref="F36:K36" si="4">F17+F23+F28+F34</f>
        <v>5709971.2369828895</v>
      </c>
      <c r="G36" s="5">
        <f t="shared" si="4"/>
        <v>2242095.2942126207</v>
      </c>
      <c r="H36" s="5">
        <f t="shared" si="4"/>
        <v>1994225.6557752111</v>
      </c>
      <c r="I36" s="5">
        <f t="shared" si="4"/>
        <v>2983891.2501758989</v>
      </c>
      <c r="J36" s="5">
        <f t="shared" si="4"/>
        <v>2983892.6378533826</v>
      </c>
      <c r="K36" s="11">
        <f t="shared" si="4"/>
        <v>190968912.90000004</v>
      </c>
    </row>
    <row r="37" spans="1:12" s="56" customFormat="1" ht="15.6" hidden="1">
      <c r="B37" s="32"/>
      <c r="C37" s="31" t="s">
        <v>121</v>
      </c>
      <c r="D37" s="32" t="s">
        <v>5</v>
      </c>
      <c r="E37" s="32"/>
      <c r="F37" s="32" t="s">
        <v>5</v>
      </c>
      <c r="G37" s="32" t="s">
        <v>5</v>
      </c>
      <c r="H37" s="32" t="s">
        <v>5</v>
      </c>
      <c r="I37" s="32" t="s">
        <v>5</v>
      </c>
      <c r="J37" s="32" t="s">
        <v>5</v>
      </c>
      <c r="K37" s="34">
        <f>K16+K22+K27+K33</f>
        <v>137617649.02399999</v>
      </c>
      <c r="L37" s="56">
        <f>190968912.9/K37</f>
        <v>1.3876774836249075</v>
      </c>
    </row>
    <row r="38" spans="1:12" ht="15.6" hidden="1">
      <c r="B38" s="13"/>
      <c r="C38" s="13"/>
      <c r="D38" s="13"/>
      <c r="E38" s="13"/>
      <c r="F38" s="13"/>
      <c r="G38" s="13"/>
      <c r="H38" s="13"/>
      <c r="I38" s="13"/>
      <c r="J38" s="13"/>
      <c r="K38" s="13"/>
    </row>
    <row r="39" spans="1:12" ht="15.6" hidden="1">
      <c r="B39" s="13"/>
      <c r="C39" s="13"/>
      <c r="D39" s="13"/>
      <c r="E39" s="13"/>
      <c r="F39" s="13"/>
      <c r="G39" s="13"/>
      <c r="H39" s="13"/>
      <c r="I39" s="13"/>
      <c r="J39" s="13"/>
      <c r="K39" s="13"/>
    </row>
    <row r="40" spans="1:12" hidden="1">
      <c r="K40" s="84" t="e">
        <f>#REF!+#REF!+'ОМС остальное'!E49+#REF!+#REF!+#REF!+#REF!+#REF!+#REF!+#REF!</f>
        <v>#REF!</v>
      </c>
    </row>
    <row r="41" spans="1:12" ht="15.6">
      <c r="B41" s="320" t="s">
        <v>108</v>
      </c>
      <c r="C41" s="320"/>
      <c r="D41" s="320"/>
      <c r="E41" s="320"/>
      <c r="F41" s="320"/>
      <c r="G41" s="320"/>
      <c r="H41" s="320"/>
      <c r="I41" s="320"/>
      <c r="J41" s="320"/>
      <c r="K41" s="320"/>
    </row>
    <row r="42" spans="1:12" ht="15.6">
      <c r="B42" s="13"/>
      <c r="C42" s="13"/>
      <c r="D42" s="13"/>
      <c r="E42" s="13"/>
      <c r="F42" s="13"/>
      <c r="G42" s="13"/>
      <c r="H42" s="13"/>
      <c r="I42" s="13"/>
      <c r="J42" s="13"/>
      <c r="K42" s="13"/>
    </row>
    <row r="43" spans="1:12" ht="15.6">
      <c r="B43" s="59" t="s">
        <v>826</v>
      </c>
      <c r="C43" s="59"/>
      <c r="D43" s="59"/>
      <c r="E43" s="13">
        <v>111</v>
      </c>
      <c r="F43" s="13"/>
      <c r="G43" s="13"/>
      <c r="H43" s="13"/>
      <c r="I43" s="13"/>
      <c r="J43" s="13"/>
      <c r="K43" s="13"/>
    </row>
    <row r="44" spans="1:12" ht="15.6">
      <c r="B44" s="59" t="s">
        <v>828</v>
      </c>
      <c r="C44" s="59"/>
      <c r="D44" s="59"/>
      <c r="E44" s="13">
        <v>7</v>
      </c>
      <c r="F44" s="169" t="s">
        <v>197</v>
      </c>
      <c r="G44" s="13"/>
      <c r="H44" s="13"/>
      <c r="I44" s="13"/>
      <c r="J44" s="13"/>
      <c r="K44" s="13"/>
    </row>
    <row r="45" spans="1:12" ht="15.6">
      <c r="B45" s="320" t="s">
        <v>109</v>
      </c>
      <c r="C45" s="320"/>
      <c r="D45" s="320"/>
      <c r="E45" s="320"/>
      <c r="F45" s="320"/>
      <c r="G45" s="320"/>
      <c r="H45" s="320"/>
      <c r="I45" s="320"/>
      <c r="J45" s="320"/>
      <c r="K45" s="320"/>
    </row>
    <row r="46" spans="1:12" ht="15.6">
      <c r="B46" s="13"/>
      <c r="C46" s="13"/>
      <c r="D46" s="13"/>
      <c r="E46" s="13"/>
      <c r="F46" s="13"/>
      <c r="G46" s="13"/>
      <c r="H46" s="13"/>
      <c r="I46" s="13"/>
      <c r="J46" s="13"/>
      <c r="K46" s="13"/>
    </row>
    <row r="47" spans="1:12">
      <c r="A47" s="57"/>
      <c r="B47" s="314" t="s">
        <v>2</v>
      </c>
      <c r="C47" s="314" t="s">
        <v>110</v>
      </c>
      <c r="D47" s="314" t="s">
        <v>111</v>
      </c>
      <c r="E47" s="314" t="s">
        <v>112</v>
      </c>
      <c r="F47" s="314"/>
      <c r="G47" s="314"/>
      <c r="H47" s="314"/>
      <c r="I47" s="315" t="s">
        <v>119</v>
      </c>
      <c r="J47" s="315" t="s">
        <v>113</v>
      </c>
      <c r="K47" s="315" t="s">
        <v>120</v>
      </c>
    </row>
    <row r="48" spans="1:12">
      <c r="A48" s="57"/>
      <c r="B48" s="314"/>
      <c r="C48" s="314"/>
      <c r="D48" s="314"/>
      <c r="E48" s="314" t="s">
        <v>114</v>
      </c>
      <c r="F48" s="318" t="s">
        <v>115</v>
      </c>
      <c r="G48" s="318"/>
      <c r="H48" s="318"/>
      <c r="I48" s="316"/>
      <c r="J48" s="316"/>
      <c r="K48" s="316"/>
    </row>
    <row r="49" spans="1:12" ht="30">
      <c r="A49" s="58"/>
      <c r="B49" s="314"/>
      <c r="C49" s="314"/>
      <c r="D49" s="314"/>
      <c r="E49" s="314"/>
      <c r="F49" s="85" t="s">
        <v>116</v>
      </c>
      <c r="G49" s="85" t="s">
        <v>117</v>
      </c>
      <c r="H49" s="85" t="s">
        <v>118</v>
      </c>
      <c r="I49" s="317"/>
      <c r="J49" s="317"/>
      <c r="K49" s="317"/>
    </row>
    <row r="50" spans="1:12">
      <c r="A50" s="54"/>
      <c r="B50" s="86">
        <v>1</v>
      </c>
      <c r="C50" s="86">
        <v>2</v>
      </c>
      <c r="D50" s="86">
        <v>3</v>
      </c>
      <c r="E50" s="86">
        <v>4</v>
      </c>
      <c r="F50" s="86">
        <v>5</v>
      </c>
      <c r="G50" s="86">
        <v>6</v>
      </c>
      <c r="H50" s="86">
        <v>7</v>
      </c>
      <c r="I50" s="86">
        <v>8</v>
      </c>
      <c r="J50" s="86">
        <v>9</v>
      </c>
      <c r="K50" s="86">
        <v>10</v>
      </c>
    </row>
    <row r="51" spans="1:12" ht="15.6">
      <c r="B51" s="5">
        <v>1</v>
      </c>
      <c r="C51" s="16" t="s">
        <v>198</v>
      </c>
      <c r="D51" s="16">
        <v>102.25</v>
      </c>
      <c r="E51" s="275">
        <f>F51+G51+H51</f>
        <v>23900.5</v>
      </c>
      <c r="F51" s="275">
        <v>10202.14</v>
      </c>
      <c r="G51" s="275">
        <v>3698.36</v>
      </c>
      <c r="H51" s="275">
        <v>10000</v>
      </c>
      <c r="I51" s="275">
        <v>60</v>
      </c>
      <c r="J51" s="275">
        <v>1</v>
      </c>
      <c r="K51" s="275">
        <f>(D51*E51)*1.6*12</f>
        <v>46921461.600000001</v>
      </c>
    </row>
    <row r="52" spans="1:12" ht="15.6">
      <c r="B52" s="5"/>
      <c r="C52" s="16"/>
      <c r="D52" s="16"/>
      <c r="E52" s="16"/>
      <c r="F52" s="16"/>
      <c r="G52" s="16"/>
      <c r="H52" s="275"/>
      <c r="I52" s="275"/>
      <c r="J52" s="275"/>
      <c r="K52" s="16"/>
    </row>
    <row r="53" spans="1:12" ht="15.6">
      <c r="B53" s="5">
        <v>2</v>
      </c>
      <c r="C53" s="16" t="s">
        <v>199</v>
      </c>
      <c r="D53" s="16">
        <v>264</v>
      </c>
      <c r="E53" s="275">
        <f>F53+G53+H53</f>
        <v>15750.85</v>
      </c>
      <c r="F53" s="275">
        <v>7442.87</v>
      </c>
      <c r="G53" s="275">
        <v>3307.98</v>
      </c>
      <c r="H53" s="275">
        <v>5000</v>
      </c>
      <c r="I53" s="275">
        <v>60</v>
      </c>
      <c r="J53" s="275">
        <v>1</v>
      </c>
      <c r="K53" s="275">
        <f>(D53*E53)*1.6*12</f>
        <v>79837908.480000004</v>
      </c>
    </row>
    <row r="54" spans="1:12" ht="15.6">
      <c r="B54" s="5"/>
      <c r="C54" s="16"/>
      <c r="D54" s="16"/>
      <c r="E54" s="16"/>
      <c r="F54" s="275"/>
      <c r="G54" s="275"/>
      <c r="H54" s="275"/>
      <c r="I54" s="275"/>
      <c r="J54" s="275"/>
      <c r="K54" s="275"/>
    </row>
    <row r="55" spans="1:12" ht="15.6">
      <c r="B55" s="5"/>
      <c r="C55" s="16"/>
      <c r="D55" s="16"/>
      <c r="E55" s="16"/>
      <c r="F55" s="275"/>
      <c r="G55" s="275"/>
      <c r="H55" s="275"/>
      <c r="I55" s="275"/>
      <c r="J55" s="275"/>
      <c r="K55" s="275"/>
    </row>
    <row r="56" spans="1:12" ht="15.6">
      <c r="B56" s="5">
        <v>3</v>
      </c>
      <c r="C56" s="16" t="s">
        <v>201</v>
      </c>
      <c r="D56" s="16">
        <v>35.25</v>
      </c>
      <c r="E56" s="275">
        <f>F56+G56+H56</f>
        <v>11243.52</v>
      </c>
      <c r="F56" s="275">
        <v>4852.9399999999996</v>
      </c>
      <c r="G56" s="275">
        <v>3390.58</v>
      </c>
      <c r="H56" s="275">
        <v>3000</v>
      </c>
      <c r="I56" s="275">
        <v>60</v>
      </c>
      <c r="J56" s="275">
        <v>1</v>
      </c>
      <c r="K56" s="275">
        <f>(D56*E56)*1.6*12</f>
        <v>7609614.3360000011</v>
      </c>
    </row>
    <row r="57" spans="1:12" ht="15.6">
      <c r="B57" s="5"/>
      <c r="C57" s="16"/>
      <c r="D57" s="16"/>
      <c r="E57" s="16"/>
      <c r="F57" s="275"/>
      <c r="G57" s="275"/>
      <c r="H57" s="275"/>
      <c r="I57" s="275"/>
      <c r="J57" s="275"/>
      <c r="K57" s="275"/>
    </row>
    <row r="58" spans="1:12" ht="15.6">
      <c r="B58" s="5">
        <v>4</v>
      </c>
      <c r="C58" s="16" t="s">
        <v>202</v>
      </c>
      <c r="D58" s="16">
        <v>135</v>
      </c>
      <c r="E58" s="275">
        <f>F58+G58+H58</f>
        <v>9993.08</v>
      </c>
      <c r="F58" s="275">
        <v>5687.06</v>
      </c>
      <c r="G58" s="275">
        <v>1806.02</v>
      </c>
      <c r="H58" s="275">
        <v>2500</v>
      </c>
      <c r="I58" s="275">
        <v>60</v>
      </c>
      <c r="J58" s="275">
        <v>1</v>
      </c>
      <c r="K58" s="275">
        <f>(D58*E58)*1.6*12-174231.78</f>
        <v>25727831.580000002</v>
      </c>
    </row>
    <row r="59" spans="1:12" ht="15.6">
      <c r="B59" s="5"/>
      <c r="C59" s="16"/>
      <c r="D59" s="16"/>
      <c r="E59" s="16"/>
      <c r="F59" s="275"/>
      <c r="G59" s="275"/>
      <c r="H59" s="275"/>
      <c r="I59" s="275"/>
      <c r="J59" s="275"/>
      <c r="K59" s="275"/>
    </row>
    <row r="60" spans="1:12" ht="15.6">
      <c r="B60" s="5"/>
      <c r="C60" s="69"/>
      <c r="D60" s="16">
        <f>D51+D53+D56+D58</f>
        <v>536.5</v>
      </c>
      <c r="E60" s="275">
        <f>F60+G60+H60</f>
        <v>0</v>
      </c>
      <c r="F60" s="275"/>
      <c r="G60" s="275"/>
      <c r="H60" s="275"/>
      <c r="I60" s="275"/>
      <c r="J60" s="275"/>
      <c r="K60" s="275">
        <f>(D60*E60*(1+I60/100)*J60*12)</f>
        <v>0</v>
      </c>
    </row>
    <row r="61" spans="1:12" ht="15.6">
      <c r="A61" s="56"/>
      <c r="B61" s="32"/>
      <c r="C61" s="70" t="s">
        <v>121</v>
      </c>
      <c r="D61" s="71" t="s">
        <v>5</v>
      </c>
      <c r="E61" s="71"/>
      <c r="F61" s="72" t="s">
        <v>5</v>
      </c>
      <c r="G61" s="72" t="s">
        <v>5</v>
      </c>
      <c r="H61" s="72" t="s">
        <v>5</v>
      </c>
      <c r="I61" s="72" t="s">
        <v>5</v>
      </c>
      <c r="J61" s="72" t="s">
        <v>5</v>
      </c>
      <c r="K61" s="276">
        <f>SUM(K51:K60)</f>
        <v>160096815.99600002</v>
      </c>
      <c r="L61" s="56"/>
    </row>
    <row r="62" spans="1:12" ht="15.6">
      <c r="A62" s="56"/>
      <c r="B62" s="206"/>
      <c r="C62" s="207"/>
      <c r="D62" s="206"/>
      <c r="E62" s="206"/>
      <c r="F62" s="208"/>
      <c r="G62" s="208"/>
      <c r="H62" s="208"/>
      <c r="I62" s="208"/>
      <c r="J62" s="208"/>
      <c r="K62" s="208"/>
      <c r="L62" s="56"/>
    </row>
    <row r="63" spans="1:12" ht="15.6">
      <c r="A63" s="56"/>
      <c r="B63" s="206"/>
      <c r="C63" s="207"/>
      <c r="D63" s="206"/>
      <c r="E63" s="206"/>
      <c r="F63" s="208"/>
      <c r="G63" s="208"/>
      <c r="H63" s="208"/>
      <c r="I63" s="208"/>
      <c r="J63" s="208"/>
      <c r="K63" s="208"/>
      <c r="L63" s="56"/>
    </row>
    <row r="64" spans="1:12" ht="15.6">
      <c r="A64" s="56"/>
      <c r="B64" s="206"/>
      <c r="C64" s="207"/>
      <c r="D64" s="206"/>
      <c r="E64" s="206"/>
      <c r="F64" s="208"/>
      <c r="G64" s="208"/>
      <c r="H64" s="208"/>
      <c r="I64" s="208"/>
      <c r="J64" s="208"/>
      <c r="K64" s="208"/>
      <c r="L64" s="56"/>
    </row>
    <row r="65" spans="1:12" ht="15.6">
      <c r="A65" s="56"/>
      <c r="B65" s="206"/>
      <c r="C65" s="207"/>
      <c r="D65" s="206"/>
      <c r="E65" s="206"/>
      <c r="F65" s="208"/>
      <c r="G65" s="208"/>
      <c r="H65" s="208"/>
      <c r="I65" s="208"/>
      <c r="J65" s="208"/>
      <c r="K65" s="208"/>
      <c r="L65" s="56"/>
    </row>
    <row r="66" spans="1:12" ht="15.6">
      <c r="A66" s="56"/>
      <c r="B66" s="206"/>
      <c r="C66" s="207"/>
      <c r="D66" s="206"/>
      <c r="E66" s="206"/>
      <c r="F66" s="208"/>
      <c r="G66" s="208"/>
      <c r="H66" s="208"/>
      <c r="I66" s="208"/>
      <c r="J66" s="208"/>
      <c r="K66" s="208"/>
      <c r="L66" s="56"/>
    </row>
    <row r="67" spans="1:12" ht="15.6">
      <c r="A67" s="56"/>
      <c r="B67" s="206"/>
      <c r="C67" s="207"/>
      <c r="D67" s="206"/>
      <c r="E67" s="206"/>
      <c r="F67" s="208"/>
      <c r="G67" s="208"/>
      <c r="H67" s="208"/>
      <c r="I67" s="208"/>
      <c r="J67" s="208"/>
      <c r="K67" s="208"/>
      <c r="L67" s="56"/>
    </row>
    <row r="68" spans="1:12" ht="15.6">
      <c r="A68" s="56"/>
      <c r="B68" s="206"/>
      <c r="C68" s="207"/>
      <c r="D68" s="206"/>
      <c r="E68" s="206"/>
      <c r="F68" s="208"/>
      <c r="G68" s="208"/>
      <c r="H68" s="208"/>
      <c r="I68" s="208"/>
      <c r="J68" s="208"/>
      <c r="K68" s="208"/>
      <c r="L68" s="56"/>
    </row>
    <row r="69" spans="1:12" ht="15.6">
      <c r="A69" s="56"/>
      <c r="B69" s="206"/>
      <c r="C69" s="207"/>
      <c r="D69" s="206"/>
      <c r="E69" s="206"/>
      <c r="F69" s="208"/>
      <c r="G69" s="208"/>
      <c r="H69" s="208"/>
      <c r="I69" s="208"/>
      <c r="J69" s="208"/>
      <c r="K69" s="208"/>
      <c r="L69" s="56"/>
    </row>
    <row r="74" spans="1:12" ht="36.75" customHeight="1">
      <c r="B74" s="313" t="s">
        <v>101</v>
      </c>
      <c r="C74" s="313"/>
      <c r="D74" s="313"/>
      <c r="E74" s="313"/>
      <c r="F74" s="313"/>
      <c r="G74" s="313"/>
    </row>
    <row r="76" spans="1:12" ht="48.6">
      <c r="B76" s="46" t="s">
        <v>2</v>
      </c>
      <c r="C76" s="46" t="s">
        <v>34</v>
      </c>
      <c r="D76" s="47" t="s">
        <v>102</v>
      </c>
      <c r="E76" s="47" t="s">
        <v>103</v>
      </c>
      <c r="F76" s="47" t="s">
        <v>104</v>
      </c>
      <c r="G76" s="47" t="s">
        <v>90</v>
      </c>
    </row>
    <row r="77" spans="1:12">
      <c r="B77" s="45">
        <v>1</v>
      </c>
      <c r="C77" s="45">
        <v>2</v>
      </c>
      <c r="D77" s="45">
        <v>3</v>
      </c>
      <c r="E77" s="45">
        <v>4</v>
      </c>
      <c r="F77" s="45">
        <v>5</v>
      </c>
      <c r="G77" s="45">
        <v>6</v>
      </c>
    </row>
    <row r="78" spans="1:12" ht="15.6">
      <c r="B78" s="5">
        <v>1</v>
      </c>
      <c r="C78" s="5" t="s">
        <v>105</v>
      </c>
      <c r="D78" s="5">
        <v>750</v>
      </c>
      <c r="E78" s="5">
        <v>14</v>
      </c>
      <c r="F78" s="11">
        <v>2</v>
      </c>
      <c r="G78" s="11">
        <f>D78*E78*F78</f>
        <v>21000</v>
      </c>
    </row>
    <row r="79" spans="1:12" ht="34.65" customHeight="1">
      <c r="B79" s="5">
        <v>2</v>
      </c>
      <c r="C79" s="6" t="s">
        <v>106</v>
      </c>
      <c r="D79" s="5">
        <v>800</v>
      </c>
      <c r="E79" s="5">
        <v>7</v>
      </c>
      <c r="F79" s="11">
        <v>38</v>
      </c>
      <c r="G79" s="11">
        <f t="shared" ref="G79:G80" si="5">D79*E79*F79</f>
        <v>212800</v>
      </c>
    </row>
    <row r="80" spans="1:12" ht="15.6">
      <c r="B80" s="5">
        <v>3</v>
      </c>
      <c r="C80" s="5" t="s">
        <v>107</v>
      </c>
      <c r="D80" s="5">
        <v>200</v>
      </c>
      <c r="E80" s="5">
        <v>7</v>
      </c>
      <c r="F80" s="11">
        <v>133</v>
      </c>
      <c r="G80" s="11">
        <f t="shared" si="5"/>
        <v>186200</v>
      </c>
    </row>
    <row r="81" spans="2:7" ht="15.6">
      <c r="B81" s="5"/>
      <c r="C81" s="5"/>
      <c r="D81" s="5"/>
      <c r="E81" s="5"/>
      <c r="F81" s="11"/>
      <c r="G81" s="11"/>
    </row>
    <row r="82" spans="2:7">
      <c r="B82" s="44"/>
      <c r="C82" s="51" t="s">
        <v>25</v>
      </c>
      <c r="D82" s="52" t="s">
        <v>5</v>
      </c>
      <c r="E82" s="52" t="s">
        <v>5</v>
      </c>
      <c r="F82" s="52" t="s">
        <v>5</v>
      </c>
      <c r="G82" s="53">
        <f>SUM(G78:G81)</f>
        <v>420000</v>
      </c>
    </row>
  </sheetData>
  <mergeCells count="23">
    <mergeCell ref="B74:G74"/>
    <mergeCell ref="B2:K2"/>
    <mergeCell ref="B7:K7"/>
    <mergeCell ref="K9:K11"/>
    <mergeCell ref="E10:E11"/>
    <mergeCell ref="F10:H10"/>
    <mergeCell ref="J9:J11"/>
    <mergeCell ref="I9:I11"/>
    <mergeCell ref="B9:B11"/>
    <mergeCell ref="C9:C11"/>
    <mergeCell ref="D9:D11"/>
    <mergeCell ref="E9:H9"/>
    <mergeCell ref="B41:K41"/>
    <mergeCell ref="B45:K45"/>
    <mergeCell ref="B47:B49"/>
    <mergeCell ref="C47:C49"/>
    <mergeCell ref="D47:D49"/>
    <mergeCell ref="E47:H47"/>
    <mergeCell ref="I47:I49"/>
    <mergeCell ref="J47:J49"/>
    <mergeCell ref="K47:K49"/>
    <mergeCell ref="E48:E49"/>
    <mergeCell ref="F48:H48"/>
  </mergeCells>
  <pageMargins left="0.51181102362204722" right="0.11811023622047245" top="0.74803149606299213" bottom="0.74803149606299213" header="0.31496062992125984" footer="0.31496062992125984"/>
  <pageSetup paperSize="9" scale="95" orientation="landscape" copies="2" r:id="rId1"/>
</worksheet>
</file>

<file path=xl/worksheets/sheet6.xml><?xml version="1.0" encoding="utf-8"?>
<worksheet xmlns="http://schemas.openxmlformats.org/spreadsheetml/2006/main" xmlns:r="http://schemas.openxmlformats.org/officeDocument/2006/relationships">
  <dimension ref="B3:G212"/>
  <sheetViews>
    <sheetView topLeftCell="A189" workbookViewId="0">
      <selection activeCell="B190" sqref="B190"/>
    </sheetView>
  </sheetViews>
  <sheetFormatPr defaultRowHeight="14.4"/>
  <cols>
    <col min="1" max="1" width="16.44140625" customWidth="1"/>
    <col min="2" max="2" width="9.5546875" customWidth="1"/>
    <col min="3" max="3" width="58" customWidth="1"/>
    <col min="4" max="4" width="17.33203125" customWidth="1"/>
    <col min="5" max="5" width="22.33203125" customWidth="1"/>
    <col min="6" max="6" width="12.88671875" customWidth="1"/>
    <col min="7" max="7" width="13.5546875" customWidth="1"/>
  </cols>
  <sheetData>
    <row r="3" spans="2:7" ht="51.75" customHeight="1">
      <c r="B3" s="313" t="s">
        <v>139</v>
      </c>
      <c r="C3" s="313"/>
      <c r="D3" s="313"/>
      <c r="E3" s="313"/>
      <c r="F3" s="313"/>
      <c r="G3" s="313"/>
    </row>
    <row r="4" spans="2:7" ht="53.25" customHeight="1">
      <c r="B4" s="46" t="s">
        <v>2</v>
      </c>
      <c r="C4" s="46" t="s">
        <v>34</v>
      </c>
      <c r="D4" s="47" t="s">
        <v>95</v>
      </c>
      <c r="E4" s="47" t="s">
        <v>96</v>
      </c>
      <c r="F4" s="47" t="s">
        <v>97</v>
      </c>
      <c r="G4" s="47" t="s">
        <v>90</v>
      </c>
    </row>
    <row r="5" spans="2:7" ht="16.649999999999999" customHeight="1">
      <c r="B5" s="45">
        <v>1</v>
      </c>
      <c r="C5" s="45">
        <v>2</v>
      </c>
      <c r="D5" s="45">
        <v>3</v>
      </c>
      <c r="E5" s="45">
        <v>4</v>
      </c>
      <c r="F5" s="45">
        <v>5</v>
      </c>
      <c r="G5" s="45">
        <v>6</v>
      </c>
    </row>
    <row r="6" spans="2:7" ht="29.25" customHeight="1">
      <c r="B6" s="5">
        <v>2</v>
      </c>
      <c r="C6" s="6" t="s">
        <v>99</v>
      </c>
      <c r="D6" s="4">
        <v>4</v>
      </c>
      <c r="E6" s="4">
        <v>12</v>
      </c>
      <c r="F6" s="9">
        <v>60</v>
      </c>
      <c r="G6" s="9">
        <f>D6*E6*F6</f>
        <v>2880</v>
      </c>
    </row>
    <row r="7" spans="2:7" ht="15.6">
      <c r="B7" s="5"/>
      <c r="C7" s="5"/>
      <c r="D7" s="4"/>
      <c r="E7" s="4"/>
      <c r="F7" s="9"/>
      <c r="G7" s="9"/>
    </row>
    <row r="8" spans="2:7" ht="15.6">
      <c r="B8" s="5"/>
      <c r="C8" s="5"/>
      <c r="D8" s="4"/>
      <c r="E8" s="4"/>
      <c r="F8" s="9"/>
      <c r="G8" s="9"/>
    </row>
    <row r="9" spans="2:7">
      <c r="B9" s="44"/>
      <c r="C9" s="51" t="s">
        <v>25</v>
      </c>
      <c r="D9" s="52" t="s">
        <v>5</v>
      </c>
      <c r="E9" s="52" t="s">
        <v>5</v>
      </c>
      <c r="F9" s="52" t="s">
        <v>5</v>
      </c>
      <c r="G9" s="53">
        <f>SUM(G6:G8)</f>
        <v>2880</v>
      </c>
    </row>
    <row r="10" spans="2:7">
      <c r="B10" s="209"/>
      <c r="C10" s="210"/>
      <c r="D10" s="211"/>
      <c r="E10" s="211"/>
      <c r="F10" s="211"/>
      <c r="G10" s="212"/>
    </row>
    <row r="11" spans="2:7">
      <c r="B11" s="209"/>
      <c r="C11" s="210"/>
      <c r="D11" s="211"/>
      <c r="E11" s="211"/>
      <c r="F11" s="211"/>
      <c r="G11" s="212"/>
    </row>
    <row r="12" spans="2:7">
      <c r="B12" s="209"/>
      <c r="C12" s="210"/>
      <c r="D12" s="211"/>
      <c r="E12" s="211"/>
      <c r="F12" s="211"/>
      <c r="G12" s="212"/>
    </row>
    <row r="13" spans="2:7">
      <c r="B13" s="209"/>
      <c r="C13" s="210"/>
      <c r="D13" s="211"/>
      <c r="E13" s="211"/>
      <c r="F13" s="211"/>
      <c r="G13" s="212"/>
    </row>
    <row r="14" spans="2:7">
      <c r="B14" s="209"/>
      <c r="C14" s="210"/>
      <c r="D14" s="211"/>
      <c r="E14" s="211"/>
      <c r="F14" s="211"/>
      <c r="G14" s="212"/>
    </row>
    <row r="15" spans="2:7">
      <c r="B15" s="209"/>
      <c r="C15" s="210"/>
      <c r="D15" s="211"/>
      <c r="E15" s="211"/>
      <c r="F15" s="211"/>
      <c r="G15" s="212"/>
    </row>
    <row r="16" spans="2:7">
      <c r="B16" s="209"/>
      <c r="C16" s="210"/>
      <c r="D16" s="211"/>
      <c r="E16" s="211"/>
      <c r="F16" s="211"/>
      <c r="G16" s="212"/>
    </row>
    <row r="17" spans="2:7">
      <c r="B17" s="209"/>
      <c r="C17" s="210"/>
      <c r="D17" s="211"/>
      <c r="E17" s="211"/>
      <c r="F17" s="211"/>
      <c r="G17" s="212"/>
    </row>
    <row r="18" spans="2:7">
      <c r="B18" s="209"/>
      <c r="C18" s="210"/>
      <c r="D18" s="211"/>
      <c r="E18" s="211"/>
      <c r="F18" s="211"/>
      <c r="G18" s="212"/>
    </row>
    <row r="19" spans="2:7">
      <c r="B19" s="209"/>
      <c r="C19" s="210"/>
      <c r="D19" s="211"/>
      <c r="E19" s="211"/>
      <c r="F19" s="211"/>
      <c r="G19" s="212"/>
    </row>
    <row r="20" spans="2:7">
      <c r="B20" s="209"/>
      <c r="C20" s="210"/>
      <c r="D20" s="211"/>
      <c r="E20" s="211"/>
      <c r="F20" s="211"/>
      <c r="G20" s="212"/>
    </row>
    <row r="21" spans="2:7">
      <c r="B21" s="209"/>
      <c r="C21" s="210"/>
      <c r="D21" s="211"/>
      <c r="E21" s="211"/>
      <c r="F21" s="211"/>
      <c r="G21" s="212"/>
    </row>
    <row r="22" spans="2:7">
      <c r="B22" s="209"/>
      <c r="C22" s="210"/>
      <c r="D22" s="211"/>
      <c r="E22" s="211"/>
      <c r="F22" s="211"/>
      <c r="G22" s="212"/>
    </row>
    <row r="23" spans="2:7">
      <c r="B23" s="209"/>
      <c r="C23" s="210"/>
      <c r="D23" s="211"/>
      <c r="E23" s="211"/>
      <c r="F23" s="211"/>
      <c r="G23" s="212"/>
    </row>
    <row r="24" spans="2:7">
      <c r="B24" s="209"/>
      <c r="C24" s="210"/>
      <c r="D24" s="211"/>
      <c r="E24" s="211"/>
      <c r="F24" s="211"/>
      <c r="G24" s="212"/>
    </row>
    <row r="25" spans="2:7">
      <c r="B25" s="209"/>
      <c r="C25" s="210"/>
      <c r="D25" s="211"/>
      <c r="E25" s="211"/>
      <c r="F25" s="211"/>
      <c r="G25" s="212"/>
    </row>
    <row r="26" spans="2:7">
      <c r="B26" s="209"/>
      <c r="C26" s="210"/>
      <c r="D26" s="211"/>
      <c r="E26" s="211"/>
      <c r="F26" s="211"/>
      <c r="G26" s="212"/>
    </row>
    <row r="27" spans="2:7">
      <c r="B27" s="209"/>
      <c r="C27" s="210"/>
      <c r="D27" s="211"/>
      <c r="E27" s="211"/>
      <c r="F27" s="211"/>
      <c r="G27" s="212"/>
    </row>
    <row r="28" spans="2:7">
      <c r="B28" s="209"/>
      <c r="C28" s="210"/>
      <c r="D28" s="211"/>
      <c r="E28" s="211"/>
      <c r="F28" s="211"/>
      <c r="G28" s="212"/>
    </row>
    <row r="29" spans="2:7">
      <c r="B29" s="209"/>
      <c r="C29" s="210"/>
      <c r="D29" s="211"/>
      <c r="E29" s="211"/>
      <c r="F29" s="211"/>
      <c r="G29" s="212"/>
    </row>
    <row r="30" spans="2:7">
      <c r="B30" s="209"/>
      <c r="C30" s="210"/>
      <c r="D30" s="211"/>
      <c r="E30" s="211"/>
      <c r="F30" s="211"/>
      <c r="G30" s="212"/>
    </row>
    <row r="31" spans="2:7">
      <c r="B31" s="209"/>
      <c r="C31" s="210"/>
      <c r="D31" s="211"/>
      <c r="E31" s="211"/>
      <c r="F31" s="211"/>
      <c r="G31" s="212"/>
    </row>
    <row r="32" spans="2:7">
      <c r="B32" s="209"/>
      <c r="C32" s="210"/>
      <c r="D32" s="211"/>
      <c r="E32" s="211"/>
      <c r="F32" s="211"/>
      <c r="G32" s="212"/>
    </row>
    <row r="33" spans="2:7">
      <c r="B33" s="209"/>
      <c r="C33" s="210"/>
      <c r="D33" s="211"/>
      <c r="E33" s="211"/>
      <c r="F33" s="211"/>
      <c r="G33" s="212"/>
    </row>
    <row r="34" spans="2:7" ht="17.25" customHeight="1"/>
    <row r="35" spans="2:7" ht="62.25" customHeight="1">
      <c r="B35" s="328" t="s">
        <v>873</v>
      </c>
      <c r="C35" s="328"/>
      <c r="D35" s="328"/>
      <c r="E35" s="328"/>
    </row>
    <row r="36" spans="2:7" ht="20.399999999999999">
      <c r="B36" s="10" t="s">
        <v>2</v>
      </c>
      <c r="C36" s="2" t="s">
        <v>0</v>
      </c>
      <c r="D36" s="2" t="s">
        <v>3</v>
      </c>
      <c r="E36" s="10" t="s">
        <v>1</v>
      </c>
    </row>
    <row r="37" spans="2:7">
      <c r="B37" s="1">
        <v>1</v>
      </c>
      <c r="C37" s="3">
        <v>2</v>
      </c>
      <c r="D37" s="1">
        <v>3</v>
      </c>
      <c r="E37" s="1">
        <v>4</v>
      </c>
    </row>
    <row r="38" spans="2:7" ht="31.2">
      <c r="B38" s="32">
        <v>1</v>
      </c>
      <c r="C38" s="39" t="s">
        <v>4</v>
      </c>
      <c r="D38" s="32" t="s">
        <v>5</v>
      </c>
      <c r="E38" s="34">
        <f>SUM(E39:E40)</f>
        <v>34660960.6844</v>
      </c>
    </row>
    <row r="39" spans="2:7" ht="31.2">
      <c r="B39" s="8" t="s">
        <v>6</v>
      </c>
      <c r="C39" s="7" t="s">
        <v>7</v>
      </c>
      <c r="D39" s="9">
        <v>156704733.12</v>
      </c>
      <c r="E39" s="9">
        <f>(D39*22%)-153288.89</f>
        <v>34321752.396399997</v>
      </c>
    </row>
    <row r="40" spans="2:7" s="50" customFormat="1" ht="15.6">
      <c r="B40" s="8" t="s">
        <v>9</v>
      </c>
      <c r="C40" s="6" t="s">
        <v>8</v>
      </c>
      <c r="D40" s="9">
        <f>3392082.88</f>
        <v>3392082.88</v>
      </c>
      <c r="E40" s="9">
        <f>D40*10%</f>
        <v>339208.288</v>
      </c>
      <c r="F40"/>
      <c r="G40"/>
    </row>
    <row r="41" spans="2:7" ht="31.5" customHeight="1">
      <c r="B41" s="8" t="s">
        <v>10</v>
      </c>
      <c r="C41" s="6" t="s">
        <v>11</v>
      </c>
      <c r="D41" s="9"/>
      <c r="E41" s="9"/>
    </row>
    <row r="42" spans="2:7" ht="31.2">
      <c r="B42" s="40" t="s">
        <v>12</v>
      </c>
      <c r="C42" s="41" t="s">
        <v>13</v>
      </c>
      <c r="D42" s="34" t="s">
        <v>5</v>
      </c>
      <c r="E42" s="34">
        <f>SUM(E43:E47)</f>
        <v>5043049.7</v>
      </c>
    </row>
    <row r="43" spans="2:7" ht="47.25" customHeight="1">
      <c r="B43" s="8" t="s">
        <v>14</v>
      </c>
      <c r="C43" s="6" t="s">
        <v>15</v>
      </c>
      <c r="D43" s="9">
        <v>160096816</v>
      </c>
      <c r="E43" s="9">
        <f>4642807.66</f>
        <v>4642807.66</v>
      </c>
    </row>
    <row r="44" spans="2:7" ht="31.2">
      <c r="B44" s="8" t="s">
        <v>16</v>
      </c>
      <c r="C44" s="6" t="s">
        <v>17</v>
      </c>
      <c r="D44" s="9"/>
      <c r="E44" s="9"/>
    </row>
    <row r="45" spans="2:7" ht="46.8">
      <c r="B45" s="8" t="s">
        <v>18</v>
      </c>
      <c r="C45" s="6" t="s">
        <v>78</v>
      </c>
      <c r="D45" s="9">
        <v>160096816</v>
      </c>
      <c r="E45" s="9">
        <f>D45*0.25%</f>
        <v>400242.04000000004</v>
      </c>
    </row>
    <row r="46" spans="2:7" ht="46.8">
      <c r="B46" s="8" t="s">
        <v>19</v>
      </c>
      <c r="C46" s="6" t="s">
        <v>20</v>
      </c>
      <c r="D46" s="9"/>
      <c r="E46" s="9"/>
    </row>
    <row r="47" spans="2:7" ht="46.8">
      <c r="B47" s="8" t="s">
        <v>23</v>
      </c>
      <c r="C47" s="6" t="s">
        <v>20</v>
      </c>
      <c r="D47" s="9"/>
      <c r="E47" s="9"/>
    </row>
    <row r="48" spans="2:7" ht="46.8">
      <c r="B48" s="48" t="s">
        <v>24</v>
      </c>
      <c r="C48" s="49" t="s">
        <v>100</v>
      </c>
      <c r="D48" s="36">
        <v>160096816</v>
      </c>
      <c r="E48" s="36">
        <f>D48*5.1%</f>
        <v>8164937.6159999995</v>
      </c>
      <c r="F48" s="50"/>
      <c r="G48" s="50"/>
    </row>
    <row r="49" spans="2:6" ht="15.6">
      <c r="B49" s="40"/>
      <c r="C49" s="41" t="s">
        <v>26</v>
      </c>
      <c r="D49" s="34" t="s">
        <v>5</v>
      </c>
      <c r="E49" s="34">
        <f>E48+E42+E38</f>
        <v>47868948.000399999</v>
      </c>
    </row>
    <row r="51" spans="2:6" ht="42.75" customHeight="1">
      <c r="B51" t="s">
        <v>21</v>
      </c>
      <c r="C51" s="324" t="s">
        <v>22</v>
      </c>
      <c r="D51" s="324"/>
      <c r="E51" s="324"/>
    </row>
    <row r="57" spans="2:6" ht="15.6">
      <c r="B57" s="13"/>
      <c r="C57" s="320" t="s">
        <v>27</v>
      </c>
      <c r="D57" s="320"/>
      <c r="E57" s="320"/>
      <c r="F57" s="320"/>
    </row>
    <row r="58" spans="2:6" ht="15.6">
      <c r="B58" s="13"/>
      <c r="C58" s="13"/>
      <c r="D58" s="13"/>
      <c r="E58" s="26"/>
      <c r="F58" s="13"/>
    </row>
    <row r="59" spans="2:6" ht="15.6">
      <c r="B59" s="170" t="s">
        <v>28</v>
      </c>
      <c r="C59" s="170"/>
      <c r="D59" s="21" t="s">
        <v>59</v>
      </c>
      <c r="E59" s="26"/>
      <c r="F59" s="13"/>
    </row>
    <row r="60" spans="2:6" ht="15.6">
      <c r="B60" s="170" t="s">
        <v>29</v>
      </c>
      <c r="C60" s="170"/>
      <c r="D60" s="21" t="s">
        <v>829</v>
      </c>
      <c r="E60" s="26"/>
      <c r="F60" s="13"/>
    </row>
    <row r="61" spans="2:6" ht="15.6">
      <c r="B61" s="13"/>
      <c r="C61" s="13"/>
      <c r="D61" s="13"/>
      <c r="E61" s="26"/>
      <c r="F61" s="13"/>
    </row>
    <row r="62" spans="2:6" ht="62.4">
      <c r="B62" s="14" t="s">
        <v>2</v>
      </c>
      <c r="C62" s="14" t="s">
        <v>30</v>
      </c>
      <c r="D62" s="14" t="s">
        <v>83</v>
      </c>
      <c r="E62" s="27" t="s">
        <v>31</v>
      </c>
      <c r="F62" s="14" t="s">
        <v>32</v>
      </c>
    </row>
    <row r="63" spans="2:6">
      <c r="B63" s="202">
        <v>1</v>
      </c>
      <c r="C63" s="202">
        <v>2</v>
      </c>
      <c r="D63" s="202">
        <v>3</v>
      </c>
      <c r="E63" s="28">
        <v>4</v>
      </c>
      <c r="F63" s="202">
        <v>5</v>
      </c>
    </row>
    <row r="64" spans="2:6" ht="15.6">
      <c r="B64" s="30">
        <v>1</v>
      </c>
      <c r="C64" s="31" t="s">
        <v>72</v>
      </c>
      <c r="D64" s="32" t="s">
        <v>5</v>
      </c>
      <c r="E64" s="33" t="s">
        <v>5</v>
      </c>
      <c r="F64" s="34">
        <f>SUM(F65:F73)</f>
        <v>36811.9</v>
      </c>
    </row>
    <row r="65" spans="2:6" ht="15.6">
      <c r="B65" s="24" t="s">
        <v>6</v>
      </c>
      <c r="C65" s="5" t="s">
        <v>71</v>
      </c>
      <c r="D65" s="22">
        <f>74+85+85+84+84+84+128+128+128+128+128+128</f>
        <v>1264</v>
      </c>
      <c r="E65" s="29">
        <v>4.5</v>
      </c>
      <c r="F65" s="9">
        <f>E65*D65</f>
        <v>5688</v>
      </c>
    </row>
    <row r="66" spans="2:6" ht="15.6">
      <c r="B66" s="25" t="s">
        <v>9</v>
      </c>
      <c r="C66" s="5" t="s">
        <v>1498</v>
      </c>
      <c r="D66" s="22">
        <f>112.2+112.2+112.2+112.2+112.2</f>
        <v>561</v>
      </c>
      <c r="E66" s="29">
        <v>7.5</v>
      </c>
      <c r="F66" s="9">
        <f t="shared" ref="F66:F74" si="0">E66*D66</f>
        <v>4207.5</v>
      </c>
    </row>
    <row r="67" spans="2:6" ht="15.6">
      <c r="B67" s="25" t="s">
        <v>10</v>
      </c>
      <c r="C67" s="5" t="s">
        <v>1497</v>
      </c>
      <c r="D67" s="22">
        <f>128*6</f>
        <v>768</v>
      </c>
      <c r="E67" s="29">
        <v>7.5</v>
      </c>
      <c r="F67" s="9">
        <f t="shared" si="0"/>
        <v>5760</v>
      </c>
    </row>
    <row r="68" spans="2:6" ht="15.6">
      <c r="B68" s="25" t="s">
        <v>60</v>
      </c>
      <c r="C68" s="5" t="s">
        <v>65</v>
      </c>
      <c r="D68" s="22">
        <f>98+98+98</f>
        <v>294</v>
      </c>
      <c r="E68" s="29">
        <v>4.5</v>
      </c>
      <c r="F68" s="9">
        <f t="shared" si="0"/>
        <v>1323</v>
      </c>
    </row>
    <row r="69" spans="2:6" ht="15.6">
      <c r="B69" s="25" t="s">
        <v>61</v>
      </c>
      <c r="C69" s="5" t="s">
        <v>65</v>
      </c>
      <c r="D69" s="22">
        <f>140+140+140</f>
        <v>420</v>
      </c>
      <c r="E69" s="29">
        <v>7.5</v>
      </c>
      <c r="F69" s="9">
        <f t="shared" si="0"/>
        <v>3150</v>
      </c>
    </row>
    <row r="70" spans="2:6" ht="15.6">
      <c r="B70" s="25" t="s">
        <v>67</v>
      </c>
      <c r="C70" s="5" t="s">
        <v>66</v>
      </c>
      <c r="D70" s="22">
        <v>115</v>
      </c>
      <c r="E70" s="29">
        <v>13</v>
      </c>
      <c r="F70" s="9">
        <f t="shared" si="0"/>
        <v>1495</v>
      </c>
    </row>
    <row r="71" spans="2:6" ht="29.25" customHeight="1">
      <c r="B71" s="25" t="s">
        <v>68</v>
      </c>
      <c r="C71" s="6" t="s">
        <v>1499</v>
      </c>
      <c r="D71" s="22">
        <f>110*2</f>
        <v>220</v>
      </c>
      <c r="E71" s="29">
        <v>7.5</v>
      </c>
      <c r="F71" s="9">
        <f t="shared" si="0"/>
        <v>1650</v>
      </c>
    </row>
    <row r="72" spans="2:6" ht="15.6">
      <c r="B72" s="25" t="s">
        <v>69</v>
      </c>
      <c r="C72" s="5" t="s">
        <v>62</v>
      </c>
      <c r="D72" s="22">
        <v>125.12</v>
      </c>
      <c r="E72" s="29">
        <v>7.5</v>
      </c>
      <c r="F72" s="9">
        <f t="shared" si="0"/>
        <v>938.40000000000009</v>
      </c>
    </row>
    <row r="73" spans="2:6" ht="31.2">
      <c r="B73" s="25" t="s">
        <v>910</v>
      </c>
      <c r="C73" s="6" t="s">
        <v>1501</v>
      </c>
      <c r="D73" s="22">
        <v>280</v>
      </c>
      <c r="E73" s="29">
        <v>45</v>
      </c>
      <c r="F73" s="9">
        <f t="shared" si="0"/>
        <v>12600</v>
      </c>
    </row>
    <row r="74" spans="2:6" ht="31.2">
      <c r="B74" s="25" t="s">
        <v>911</v>
      </c>
      <c r="C74" s="6" t="s">
        <v>1500</v>
      </c>
      <c r="D74" s="22">
        <v>240</v>
      </c>
      <c r="E74" s="29">
        <v>7.5</v>
      </c>
      <c r="F74" s="9">
        <f t="shared" si="0"/>
        <v>1800</v>
      </c>
    </row>
    <row r="75" spans="2:6" ht="15.6">
      <c r="B75" s="30">
        <v>2</v>
      </c>
      <c r="C75" s="35" t="s">
        <v>33</v>
      </c>
      <c r="D75" s="34">
        <f>50534000</f>
        <v>50534000</v>
      </c>
      <c r="E75" s="33">
        <v>1.5</v>
      </c>
      <c r="F75" s="34">
        <f>D75*1.5%</f>
        <v>758010</v>
      </c>
    </row>
    <row r="76" spans="2:6" ht="15.6">
      <c r="B76" s="30">
        <v>3</v>
      </c>
      <c r="C76" s="35" t="s">
        <v>73</v>
      </c>
      <c r="D76" s="36" t="s">
        <v>5</v>
      </c>
      <c r="E76" s="37" t="s">
        <v>5</v>
      </c>
      <c r="F76" s="34">
        <f>SUM(F77:F78)</f>
        <v>37835</v>
      </c>
    </row>
    <row r="77" spans="2:6" ht="15.6">
      <c r="B77" s="8" t="s">
        <v>74</v>
      </c>
      <c r="C77" s="5" t="s">
        <v>76</v>
      </c>
      <c r="D77" s="22">
        <v>15285000</v>
      </c>
      <c r="E77" s="29">
        <v>0.1</v>
      </c>
      <c r="F77" s="9">
        <f>E77*D77/100</f>
        <v>15285</v>
      </c>
    </row>
    <row r="78" spans="2:6" ht="15.6">
      <c r="B78" s="8" t="s">
        <v>75</v>
      </c>
      <c r="C78" s="5" t="s">
        <v>77</v>
      </c>
      <c r="D78" s="22">
        <v>1025000</v>
      </c>
      <c r="E78" s="29">
        <v>2.2000000000000002</v>
      </c>
      <c r="F78" s="9">
        <f>E78*D78/100</f>
        <v>22550</v>
      </c>
    </row>
    <row r="79" spans="2:6" ht="31.2">
      <c r="B79" s="40" t="s">
        <v>80</v>
      </c>
      <c r="C79" s="41" t="s">
        <v>84</v>
      </c>
      <c r="D79" s="36">
        <v>2000</v>
      </c>
      <c r="E79" s="37" t="s">
        <v>5</v>
      </c>
      <c r="F79" s="34">
        <f>10*2000</f>
        <v>20000</v>
      </c>
    </row>
    <row r="80" spans="2:6" ht="15.6">
      <c r="B80" s="40" t="s">
        <v>81</v>
      </c>
      <c r="C80" s="41" t="s">
        <v>1496</v>
      </c>
      <c r="D80" s="36" t="s">
        <v>5</v>
      </c>
      <c r="E80" s="37" t="s">
        <v>5</v>
      </c>
      <c r="F80" s="34">
        <v>127343.1</v>
      </c>
    </row>
    <row r="81" spans="2:7" ht="15.6">
      <c r="B81" s="38"/>
      <c r="C81" s="35" t="s">
        <v>25</v>
      </c>
      <c r="D81" s="34"/>
      <c r="E81" s="33"/>
      <c r="F81" s="34">
        <f>F64+F75+F76+F79+F80</f>
        <v>980000</v>
      </c>
    </row>
    <row r="91" spans="2:7" ht="15.6">
      <c r="B91" s="320" t="s">
        <v>85</v>
      </c>
      <c r="C91" s="320"/>
      <c r="D91" s="320"/>
      <c r="E91" s="320"/>
      <c r="F91" s="320"/>
      <c r="G91" s="13"/>
    </row>
    <row r="92" spans="2:7" ht="15.6">
      <c r="B92" s="13"/>
      <c r="C92" s="199"/>
      <c r="D92" s="199"/>
      <c r="E92" s="199"/>
      <c r="F92" s="199"/>
      <c r="G92" s="13"/>
    </row>
    <row r="93" spans="2:7" ht="15.6">
      <c r="B93" s="13"/>
      <c r="C93" s="158" t="s">
        <v>830</v>
      </c>
      <c r="D93" s="199"/>
      <c r="E93" s="171">
        <v>244</v>
      </c>
      <c r="F93" s="171"/>
      <c r="G93" s="13"/>
    </row>
    <row r="94" spans="2:7" ht="15.6">
      <c r="B94" s="13"/>
      <c r="C94" s="158" t="s">
        <v>828</v>
      </c>
      <c r="D94" s="13"/>
      <c r="E94" s="171">
        <v>7</v>
      </c>
      <c r="F94" s="171" t="s">
        <v>197</v>
      </c>
      <c r="G94" s="13"/>
    </row>
    <row r="95" spans="2:7" ht="15.6">
      <c r="B95" s="13"/>
      <c r="C95" s="158"/>
      <c r="D95" s="13"/>
      <c r="E95" s="13"/>
      <c r="F95" s="13"/>
      <c r="G95" s="13"/>
    </row>
    <row r="96" spans="2:7" ht="15.6">
      <c r="B96" s="13"/>
      <c r="C96" s="158" t="s">
        <v>86</v>
      </c>
      <c r="D96" s="13"/>
      <c r="E96" s="13"/>
      <c r="F96" s="13"/>
      <c r="G96" s="13"/>
    </row>
    <row r="97" spans="2:7" ht="15.6">
      <c r="B97" s="13"/>
      <c r="C97" s="158"/>
      <c r="D97" s="13"/>
      <c r="E97" s="13"/>
      <c r="F97" s="13"/>
      <c r="G97" s="13"/>
    </row>
    <row r="98" spans="2:7" ht="21.6">
      <c r="B98" s="200" t="s">
        <v>2</v>
      </c>
      <c r="C98" s="200" t="s">
        <v>30</v>
      </c>
      <c r="D98" s="200" t="s">
        <v>87</v>
      </c>
      <c r="E98" s="200" t="s">
        <v>88</v>
      </c>
      <c r="F98" s="200" t="s">
        <v>89</v>
      </c>
      <c r="G98" s="43" t="s">
        <v>90</v>
      </c>
    </row>
    <row r="99" spans="2:7">
      <c r="B99" s="42">
        <v>1</v>
      </c>
      <c r="C99" s="42">
        <v>2</v>
      </c>
      <c r="D99" s="42">
        <v>3</v>
      </c>
      <c r="E99" s="42">
        <v>4</v>
      </c>
      <c r="F99" s="42">
        <v>5</v>
      </c>
      <c r="G99" s="42">
        <v>6</v>
      </c>
    </row>
    <row r="100" spans="2:7" ht="15.6">
      <c r="B100" s="61" t="s">
        <v>129</v>
      </c>
      <c r="C100" s="61" t="s">
        <v>122</v>
      </c>
      <c r="D100" s="8" t="s">
        <v>204</v>
      </c>
      <c r="E100" s="8" t="s">
        <v>123</v>
      </c>
      <c r="F100" s="9">
        <v>879.6</v>
      </c>
      <c r="G100" s="9">
        <f>F100*E100*D100</f>
        <v>580536</v>
      </c>
    </row>
    <row r="101" spans="2:7" ht="15.6">
      <c r="B101" s="61" t="s">
        <v>12</v>
      </c>
      <c r="C101" s="61" t="s">
        <v>124</v>
      </c>
      <c r="D101" s="8" t="s">
        <v>127</v>
      </c>
      <c r="E101" s="8" t="s">
        <v>123</v>
      </c>
      <c r="F101" s="9">
        <v>6.25</v>
      </c>
      <c r="G101" s="9">
        <f>F101*12*3000</f>
        <v>225000</v>
      </c>
    </row>
    <row r="102" spans="2:7" ht="15.6">
      <c r="B102" s="61" t="s">
        <v>24</v>
      </c>
      <c r="C102" s="61" t="s">
        <v>125</v>
      </c>
      <c r="D102" s="8" t="s">
        <v>81</v>
      </c>
      <c r="E102" s="8" t="s">
        <v>123</v>
      </c>
      <c r="F102" s="9">
        <v>6855</v>
      </c>
      <c r="G102" s="9">
        <f>F102*E102*D102</f>
        <v>411300</v>
      </c>
    </row>
    <row r="103" spans="2:7" ht="31.2">
      <c r="B103" s="61" t="s">
        <v>80</v>
      </c>
      <c r="C103" s="63" t="s">
        <v>128</v>
      </c>
      <c r="D103" s="8" t="s">
        <v>129</v>
      </c>
      <c r="E103" s="8" t="s">
        <v>123</v>
      </c>
      <c r="F103" s="9">
        <v>780</v>
      </c>
      <c r="G103" s="9">
        <f>F103*E103*D103</f>
        <v>9360</v>
      </c>
    </row>
    <row r="104" spans="2:7" ht="15.6">
      <c r="B104" s="61" t="s">
        <v>81</v>
      </c>
      <c r="C104" s="61" t="s">
        <v>130</v>
      </c>
      <c r="D104" s="8" t="s">
        <v>129</v>
      </c>
      <c r="E104" s="8" t="s">
        <v>123</v>
      </c>
      <c r="F104" s="9">
        <v>2880</v>
      </c>
      <c r="G104" s="9">
        <f>F104*E104*D104</f>
        <v>34560</v>
      </c>
    </row>
    <row r="105" spans="2:7" ht="15.6">
      <c r="B105" s="61" t="s">
        <v>126</v>
      </c>
      <c r="C105" s="61" t="s">
        <v>131</v>
      </c>
      <c r="D105" s="8" t="s">
        <v>129</v>
      </c>
      <c r="E105" s="8" t="s">
        <v>123</v>
      </c>
      <c r="F105" s="9">
        <v>15350</v>
      </c>
      <c r="G105" s="9">
        <f>F105*E105*D105</f>
        <v>184200</v>
      </c>
    </row>
    <row r="106" spans="2:7" ht="15.6">
      <c r="B106" s="35"/>
      <c r="C106" s="35" t="s">
        <v>26</v>
      </c>
      <c r="D106" s="32" t="s">
        <v>5</v>
      </c>
      <c r="E106" s="32" t="s">
        <v>5</v>
      </c>
      <c r="F106" s="32" t="s">
        <v>5</v>
      </c>
      <c r="G106" s="62">
        <f>SUM(G100:G105)</f>
        <v>1444956</v>
      </c>
    </row>
    <row r="107" spans="2:7" ht="15.6">
      <c r="B107" s="255"/>
      <c r="C107" s="255"/>
      <c r="D107" s="206"/>
      <c r="E107" s="206"/>
      <c r="F107" s="206"/>
      <c r="G107" s="308"/>
    </row>
    <row r="108" spans="2:7" ht="15.6">
      <c r="B108" s="255"/>
      <c r="C108" s="255"/>
      <c r="D108" s="206"/>
      <c r="E108" s="206"/>
      <c r="F108" s="206"/>
      <c r="G108" s="308"/>
    </row>
    <row r="109" spans="2:7" ht="15.6">
      <c r="B109" s="13"/>
      <c r="C109" s="13"/>
      <c r="D109" s="13"/>
      <c r="E109" s="13"/>
      <c r="F109" s="13"/>
      <c r="G109" s="13"/>
    </row>
    <row r="111" spans="2:7" ht="15.6">
      <c r="B111" s="13"/>
      <c r="C111" s="320" t="s">
        <v>91</v>
      </c>
      <c r="D111" s="320"/>
      <c r="E111" s="320"/>
      <c r="F111" s="320"/>
      <c r="G111" s="320"/>
    </row>
    <row r="112" spans="2:7" ht="15.6">
      <c r="B112" s="13"/>
      <c r="C112" s="158"/>
      <c r="D112" s="13"/>
      <c r="E112" s="13"/>
      <c r="F112" s="64"/>
      <c r="G112" s="13"/>
    </row>
    <row r="113" spans="2:7" ht="21.6">
      <c r="B113" s="200" t="s">
        <v>2</v>
      </c>
      <c r="C113" s="200" t="s">
        <v>92</v>
      </c>
      <c r="D113" s="200" t="s">
        <v>93</v>
      </c>
      <c r="E113" s="200" t="s">
        <v>137</v>
      </c>
      <c r="F113" s="65" t="s">
        <v>94</v>
      </c>
      <c r="G113" s="43" t="s">
        <v>90</v>
      </c>
    </row>
    <row r="114" spans="2:7">
      <c r="B114" s="42">
        <v>1</v>
      </c>
      <c r="C114" s="42">
        <v>2</v>
      </c>
      <c r="D114" s="42">
        <v>3</v>
      </c>
      <c r="E114" s="42">
        <v>4</v>
      </c>
      <c r="F114" s="42" t="s">
        <v>81</v>
      </c>
      <c r="G114" s="42">
        <v>6</v>
      </c>
    </row>
    <row r="115" spans="2:7" ht="15.6">
      <c r="B115" s="40" t="s">
        <v>129</v>
      </c>
      <c r="C115" s="67" t="s">
        <v>132</v>
      </c>
      <c r="D115" s="40" t="s">
        <v>1540</v>
      </c>
      <c r="E115" s="34">
        <v>6670</v>
      </c>
      <c r="F115" s="68">
        <v>6.5000000000000002E-2</v>
      </c>
      <c r="G115" s="34">
        <f>(D115*E115)+((D115*E115)*6.5%)</f>
        <v>9151290.3585000001</v>
      </c>
    </row>
    <row r="116" spans="2:7" ht="15.6">
      <c r="B116" s="8"/>
      <c r="C116" s="61"/>
      <c r="D116" s="8"/>
      <c r="E116" s="9"/>
      <c r="F116" s="66"/>
      <c r="G116" s="9"/>
    </row>
    <row r="117" spans="2:7" ht="15.6">
      <c r="B117" s="40" t="s">
        <v>12</v>
      </c>
      <c r="C117" s="67" t="s">
        <v>135</v>
      </c>
      <c r="D117" s="34">
        <f>D118</f>
        <v>2245.25</v>
      </c>
      <c r="E117" s="34">
        <f>E118</f>
        <v>5010.59</v>
      </c>
      <c r="F117" s="34"/>
      <c r="G117" s="34">
        <f>G118</f>
        <v>11981278.9653375</v>
      </c>
    </row>
    <row r="118" spans="2:7" ht="15.6">
      <c r="B118" s="8" t="s">
        <v>16</v>
      </c>
      <c r="C118" s="61" t="s">
        <v>138</v>
      </c>
      <c r="D118" s="9">
        <v>2245.25</v>
      </c>
      <c r="E118" s="9">
        <v>5010.59</v>
      </c>
      <c r="F118" s="66">
        <v>6.5000000000000002E-2</v>
      </c>
      <c r="G118" s="9">
        <f>(D118*E118)+((D118*E118)*6.5%)</f>
        <v>11981278.9653375</v>
      </c>
    </row>
    <row r="119" spans="2:7" ht="15.6">
      <c r="B119" s="8"/>
      <c r="C119" s="61"/>
      <c r="D119" s="8"/>
      <c r="E119" s="9"/>
      <c r="F119" s="66"/>
      <c r="G119" s="9"/>
    </row>
    <row r="120" spans="2:7" ht="15.6">
      <c r="B120" s="40" t="s">
        <v>24</v>
      </c>
      <c r="C120" s="67" t="s">
        <v>134</v>
      </c>
      <c r="D120" s="34">
        <f>D121</f>
        <v>15038.6</v>
      </c>
      <c r="E120" s="34">
        <f>E121</f>
        <v>30.06</v>
      </c>
      <c r="F120" s="34"/>
      <c r="G120" s="34">
        <f>G121</f>
        <v>481444.23654000001</v>
      </c>
    </row>
    <row r="121" spans="2:7" ht="15.6">
      <c r="B121" s="8" t="s">
        <v>75</v>
      </c>
      <c r="C121" s="61" t="s">
        <v>138</v>
      </c>
      <c r="D121" s="9">
        <v>15038.6</v>
      </c>
      <c r="E121" s="9">
        <v>30.06</v>
      </c>
      <c r="F121" s="66">
        <v>6.5000000000000002E-2</v>
      </c>
      <c r="G121" s="9">
        <f>(D121*E121)+((D121*E121)*6.5%)</f>
        <v>481444.23654000001</v>
      </c>
    </row>
    <row r="122" spans="2:7" ht="15.6">
      <c r="B122" s="8"/>
      <c r="C122" s="61"/>
      <c r="D122" s="9"/>
      <c r="E122" s="9"/>
      <c r="F122" s="66"/>
      <c r="G122" s="9"/>
    </row>
    <row r="123" spans="2:7" ht="15.6">
      <c r="B123" s="40" t="s">
        <v>80</v>
      </c>
      <c r="C123" s="67" t="s">
        <v>133</v>
      </c>
      <c r="D123" s="34">
        <f>D124</f>
        <v>15009.19</v>
      </c>
      <c r="E123" s="34">
        <f>E124</f>
        <v>27.93</v>
      </c>
      <c r="F123" s="34"/>
      <c r="G123" s="34">
        <f>G124</f>
        <v>446455.11068550003</v>
      </c>
    </row>
    <row r="124" spans="2:7" ht="15.6">
      <c r="B124" s="8" t="s">
        <v>75</v>
      </c>
      <c r="C124" s="61" t="s">
        <v>138</v>
      </c>
      <c r="D124" s="9">
        <v>15009.19</v>
      </c>
      <c r="E124" s="9">
        <v>27.93</v>
      </c>
      <c r="F124" s="66">
        <v>6.5000000000000002E-2</v>
      </c>
      <c r="G124" s="9">
        <f>(D124*E124)+((D124*E124)*6.5%)</f>
        <v>446455.11068550003</v>
      </c>
    </row>
    <row r="125" spans="2:7" ht="15.6">
      <c r="B125" s="8"/>
      <c r="C125" s="61"/>
      <c r="D125" s="8"/>
      <c r="E125" s="9"/>
      <c r="F125" s="66"/>
      <c r="G125" s="9"/>
    </row>
    <row r="126" spans="2:7" ht="15.6">
      <c r="B126" s="32"/>
      <c r="C126" s="31" t="s">
        <v>26</v>
      </c>
      <c r="D126" s="32" t="s">
        <v>5</v>
      </c>
      <c r="E126" s="32" t="s">
        <v>5</v>
      </c>
      <c r="F126" s="68" t="s">
        <v>5</v>
      </c>
      <c r="G126" s="34">
        <f>G115+G117+G120+G123</f>
        <v>22060468.671063002</v>
      </c>
    </row>
    <row r="131" spans="2:6" ht="15.6">
      <c r="B131" s="13"/>
      <c r="C131" s="320" t="s">
        <v>41</v>
      </c>
      <c r="D131" s="320"/>
      <c r="E131" s="320"/>
      <c r="F131" s="320"/>
    </row>
    <row r="132" spans="2:6" ht="15.6">
      <c r="B132" s="13"/>
      <c r="C132" s="13"/>
      <c r="D132" s="13"/>
      <c r="E132" s="13"/>
      <c r="F132" s="13"/>
    </row>
    <row r="133" spans="2:6" ht="21.6">
      <c r="B133" s="200" t="s">
        <v>2</v>
      </c>
      <c r="C133" s="200" t="s">
        <v>42</v>
      </c>
      <c r="D133" s="200" t="s">
        <v>43</v>
      </c>
      <c r="E133" s="200" t="s">
        <v>58</v>
      </c>
      <c r="F133" s="200" t="s">
        <v>44</v>
      </c>
    </row>
    <row r="134" spans="2:6" ht="15.6">
      <c r="B134" s="5">
        <v>1</v>
      </c>
      <c r="C134" s="5" t="s">
        <v>45</v>
      </c>
      <c r="D134" s="4">
        <v>1</v>
      </c>
      <c r="E134" s="9">
        <v>186666.66</v>
      </c>
      <c r="F134" s="9">
        <v>1120000</v>
      </c>
    </row>
    <row r="135" spans="2:6" ht="15.6">
      <c r="B135" s="5"/>
      <c r="C135" s="5"/>
      <c r="D135" s="5"/>
      <c r="E135" s="11"/>
      <c r="F135" s="11"/>
    </row>
    <row r="136" spans="2:6" ht="15.6">
      <c r="B136" s="5"/>
      <c r="C136" s="5"/>
      <c r="D136" s="5"/>
      <c r="E136" s="11"/>
      <c r="F136" s="11"/>
    </row>
    <row r="137" spans="2:6" ht="15.6">
      <c r="B137" s="35"/>
      <c r="C137" s="35" t="s">
        <v>25</v>
      </c>
      <c r="D137" s="32" t="s">
        <v>5</v>
      </c>
      <c r="E137" s="32" t="s">
        <v>5</v>
      </c>
      <c r="F137" s="32" t="s">
        <v>5</v>
      </c>
    </row>
    <row r="138" spans="2:6" ht="15.6">
      <c r="B138" s="255"/>
      <c r="C138" s="255"/>
      <c r="D138" s="206"/>
      <c r="E138" s="206"/>
      <c r="F138" s="206"/>
    </row>
    <row r="139" spans="2:6">
      <c r="B139" s="321" t="s">
        <v>40</v>
      </c>
      <c r="C139" s="321"/>
      <c r="D139" s="321"/>
      <c r="E139" s="321"/>
      <c r="F139" s="321"/>
    </row>
    <row r="140" spans="2:6">
      <c r="B140" s="201"/>
      <c r="C140" s="12"/>
      <c r="D140" s="12"/>
      <c r="E140" s="12"/>
      <c r="F140" s="12"/>
    </row>
    <row r="141" spans="2:6" ht="21.6">
      <c r="B141" s="202" t="s">
        <v>2</v>
      </c>
      <c r="C141" s="202" t="s">
        <v>34</v>
      </c>
      <c r="D141" s="202" t="s">
        <v>49</v>
      </c>
      <c r="E141" s="200" t="s">
        <v>50</v>
      </c>
      <c r="F141" s="200" t="s">
        <v>51</v>
      </c>
    </row>
    <row r="142" spans="2:6">
      <c r="B142" s="202">
        <v>1</v>
      </c>
      <c r="C142" s="202">
        <v>2</v>
      </c>
      <c r="D142" s="202">
        <v>3</v>
      </c>
      <c r="E142" s="200">
        <v>4</v>
      </c>
      <c r="F142" s="202">
        <v>5</v>
      </c>
    </row>
    <row r="143" spans="2:6">
      <c r="B143" s="15">
        <v>1</v>
      </c>
      <c r="C143" s="16" t="s">
        <v>37</v>
      </c>
      <c r="D143" s="15" t="s">
        <v>196</v>
      </c>
      <c r="E143" s="15">
        <v>1</v>
      </c>
      <c r="F143" s="19">
        <f>790000</f>
        <v>790000</v>
      </c>
    </row>
    <row r="144" spans="2:6">
      <c r="B144" s="15">
        <v>2</v>
      </c>
      <c r="C144" s="16" t="s">
        <v>79</v>
      </c>
      <c r="D144" s="15" t="s">
        <v>196</v>
      </c>
      <c r="E144" s="15">
        <v>1</v>
      </c>
      <c r="F144" s="19">
        <f>520000</f>
        <v>520000</v>
      </c>
    </row>
    <row r="145" spans="2:6">
      <c r="B145" s="15">
        <v>3</v>
      </c>
      <c r="C145" s="16" t="s">
        <v>38</v>
      </c>
      <c r="D145" s="15" t="s">
        <v>196</v>
      </c>
      <c r="E145" s="15">
        <v>2</v>
      </c>
      <c r="F145" s="19">
        <v>30000</v>
      </c>
    </row>
    <row r="146" spans="2:6">
      <c r="B146" s="15">
        <v>4</v>
      </c>
      <c r="C146" s="17" t="s">
        <v>39</v>
      </c>
      <c r="D146" s="15" t="s">
        <v>196</v>
      </c>
      <c r="E146" s="15">
        <v>1</v>
      </c>
      <c r="F146" s="19">
        <f>150000</f>
        <v>150000</v>
      </c>
    </row>
    <row r="147" spans="2:6" ht="28.2">
      <c r="B147" s="15">
        <v>5</v>
      </c>
      <c r="C147" s="18" t="s">
        <v>46</v>
      </c>
      <c r="D147" s="15" t="s">
        <v>196</v>
      </c>
      <c r="E147" s="15">
        <v>1</v>
      </c>
      <c r="F147" s="19">
        <v>130000</v>
      </c>
    </row>
    <row r="148" spans="2:6">
      <c r="B148" s="15">
        <v>6</v>
      </c>
      <c r="C148" s="16" t="s">
        <v>47</v>
      </c>
      <c r="D148" s="15" t="s">
        <v>196</v>
      </c>
      <c r="E148" s="15">
        <v>2</v>
      </c>
      <c r="F148" s="19">
        <f>900000</f>
        <v>900000</v>
      </c>
    </row>
    <row r="149" spans="2:6">
      <c r="B149" s="78">
        <v>7</v>
      </c>
      <c r="C149" s="82" t="s">
        <v>140</v>
      </c>
      <c r="D149" s="78" t="s">
        <v>196</v>
      </c>
      <c r="E149" s="78"/>
      <c r="F149" s="80">
        <f>SUM(F150:F164)</f>
        <v>0</v>
      </c>
    </row>
    <row r="150" spans="2:6" hidden="1">
      <c r="B150" s="76" t="s">
        <v>143</v>
      </c>
      <c r="C150" s="17" t="s">
        <v>141</v>
      </c>
      <c r="D150" s="73" t="s">
        <v>127</v>
      </c>
      <c r="E150" s="73">
        <v>1</v>
      </c>
      <c r="F150" s="74">
        <v>0</v>
      </c>
    </row>
    <row r="151" spans="2:6" hidden="1">
      <c r="B151" s="76" t="s">
        <v>144</v>
      </c>
      <c r="C151" s="17" t="s">
        <v>142</v>
      </c>
      <c r="D151" s="73" t="s">
        <v>127</v>
      </c>
      <c r="E151" s="73">
        <v>1</v>
      </c>
      <c r="F151" s="74">
        <v>0</v>
      </c>
    </row>
    <row r="152" spans="2:6" hidden="1">
      <c r="B152" s="76" t="s">
        <v>145</v>
      </c>
      <c r="C152" s="17" t="s">
        <v>155</v>
      </c>
      <c r="D152" s="73" t="s">
        <v>127</v>
      </c>
      <c r="E152" s="73">
        <v>1</v>
      </c>
      <c r="F152" s="74">
        <v>0</v>
      </c>
    </row>
    <row r="153" spans="2:6" hidden="1">
      <c r="B153" s="76" t="s">
        <v>146</v>
      </c>
      <c r="C153" s="17" t="s">
        <v>156</v>
      </c>
      <c r="D153" s="73" t="s">
        <v>127</v>
      </c>
      <c r="E153" s="73">
        <v>1</v>
      </c>
      <c r="F153" s="74"/>
    </row>
    <row r="154" spans="2:6" hidden="1">
      <c r="B154" s="76" t="s">
        <v>147</v>
      </c>
      <c r="C154" s="17" t="s">
        <v>150</v>
      </c>
      <c r="D154" s="73" t="s">
        <v>127</v>
      </c>
      <c r="E154" s="73">
        <v>1</v>
      </c>
      <c r="F154" s="74">
        <v>0</v>
      </c>
    </row>
    <row r="155" spans="2:6" hidden="1">
      <c r="B155" s="76" t="s">
        <v>148</v>
      </c>
      <c r="C155" s="17" t="s">
        <v>149</v>
      </c>
      <c r="D155" s="73" t="s">
        <v>127</v>
      </c>
      <c r="E155" s="73">
        <v>1</v>
      </c>
      <c r="F155" s="74">
        <v>0</v>
      </c>
    </row>
    <row r="156" spans="2:6" hidden="1">
      <c r="B156" s="76" t="s">
        <v>151</v>
      </c>
      <c r="C156" s="17" t="s">
        <v>152</v>
      </c>
      <c r="D156" s="73" t="s">
        <v>127</v>
      </c>
      <c r="E156" s="73">
        <v>1</v>
      </c>
      <c r="F156" s="74">
        <v>0</v>
      </c>
    </row>
    <row r="157" spans="2:6" hidden="1">
      <c r="B157" s="76" t="s">
        <v>153</v>
      </c>
      <c r="C157" s="20" t="s">
        <v>154</v>
      </c>
      <c r="D157" s="73" t="s">
        <v>127</v>
      </c>
      <c r="E157" s="73">
        <v>1</v>
      </c>
      <c r="F157" s="74">
        <v>0</v>
      </c>
    </row>
    <row r="158" spans="2:6" ht="28.2" hidden="1">
      <c r="B158" s="76" t="s">
        <v>157</v>
      </c>
      <c r="C158" s="20" t="s">
        <v>158</v>
      </c>
      <c r="D158" s="73" t="s">
        <v>127</v>
      </c>
      <c r="E158" s="73">
        <v>2</v>
      </c>
      <c r="F158" s="74"/>
    </row>
    <row r="159" spans="2:6" hidden="1">
      <c r="B159" s="76" t="s">
        <v>159</v>
      </c>
      <c r="C159" s="20" t="s">
        <v>161</v>
      </c>
      <c r="D159" s="73" t="s">
        <v>127</v>
      </c>
      <c r="E159" s="73">
        <v>2</v>
      </c>
      <c r="F159" s="74"/>
    </row>
    <row r="160" spans="2:6" hidden="1">
      <c r="B160" s="76" t="s">
        <v>160</v>
      </c>
      <c r="C160" s="20" t="s">
        <v>162</v>
      </c>
      <c r="D160" s="73" t="s">
        <v>127</v>
      </c>
      <c r="E160" s="73">
        <v>1</v>
      </c>
      <c r="F160" s="74"/>
    </row>
    <row r="161" spans="2:6" hidden="1">
      <c r="B161" s="76" t="s">
        <v>163</v>
      </c>
      <c r="C161" s="20" t="s">
        <v>164</v>
      </c>
      <c r="D161" s="73" t="s">
        <v>127</v>
      </c>
      <c r="E161" s="73">
        <v>1</v>
      </c>
      <c r="F161" s="74"/>
    </row>
    <row r="162" spans="2:6" hidden="1">
      <c r="B162" s="76" t="s">
        <v>165</v>
      </c>
      <c r="C162" s="20" t="s">
        <v>166</v>
      </c>
      <c r="D162" s="73" t="s">
        <v>127</v>
      </c>
      <c r="E162" s="73">
        <v>1</v>
      </c>
      <c r="F162" s="74"/>
    </row>
    <row r="163" spans="2:6" hidden="1">
      <c r="B163" s="76" t="s">
        <v>167</v>
      </c>
      <c r="C163" s="20" t="s">
        <v>168</v>
      </c>
      <c r="D163" s="73" t="s">
        <v>127</v>
      </c>
      <c r="E163" s="73">
        <v>1</v>
      </c>
      <c r="F163" s="74"/>
    </row>
    <row r="164" spans="2:6" hidden="1">
      <c r="B164" s="76" t="s">
        <v>169</v>
      </c>
      <c r="C164" s="20" t="s">
        <v>170</v>
      </c>
      <c r="D164" s="73" t="s">
        <v>127</v>
      </c>
      <c r="E164" s="73">
        <v>1</v>
      </c>
      <c r="F164" s="74"/>
    </row>
    <row r="165" spans="2:6">
      <c r="B165" s="81" t="s">
        <v>183</v>
      </c>
      <c r="C165" s="20" t="s">
        <v>184</v>
      </c>
      <c r="D165" s="15" t="s">
        <v>196</v>
      </c>
      <c r="E165" s="73">
        <v>3</v>
      </c>
      <c r="F165" s="74">
        <f>95000</f>
        <v>95000</v>
      </c>
    </row>
    <row r="166" spans="2:6">
      <c r="B166" s="81" t="s">
        <v>185</v>
      </c>
      <c r="C166" s="20" t="s">
        <v>186</v>
      </c>
      <c r="D166" s="15" t="s">
        <v>196</v>
      </c>
      <c r="E166" s="73">
        <v>2</v>
      </c>
      <c r="F166" s="74">
        <f>407000</f>
        <v>407000</v>
      </c>
    </row>
    <row r="167" spans="2:6">
      <c r="B167" s="81" t="s">
        <v>191</v>
      </c>
      <c r="C167" s="20" t="s">
        <v>192</v>
      </c>
      <c r="D167" s="15" t="s">
        <v>196</v>
      </c>
      <c r="E167" s="73">
        <v>3</v>
      </c>
      <c r="F167" s="74">
        <f>60000</f>
        <v>60000</v>
      </c>
    </row>
    <row r="168" spans="2:6">
      <c r="B168" s="81" t="s">
        <v>193</v>
      </c>
      <c r="C168" s="20" t="s">
        <v>194</v>
      </c>
      <c r="D168" s="15" t="s">
        <v>196</v>
      </c>
      <c r="E168" s="73">
        <v>1</v>
      </c>
      <c r="F168" s="74">
        <f>100000</f>
        <v>100000</v>
      </c>
    </row>
    <row r="169" spans="2:6">
      <c r="B169" s="81" t="s">
        <v>123</v>
      </c>
      <c r="C169" s="20" t="s">
        <v>195</v>
      </c>
      <c r="D169" s="15" t="s">
        <v>196</v>
      </c>
      <c r="E169" s="73">
        <v>3</v>
      </c>
      <c r="F169" s="74">
        <f>1017652.55</f>
        <v>1017652.55</v>
      </c>
    </row>
    <row r="170" spans="2:6">
      <c r="B170" s="71"/>
      <c r="C170" s="70" t="s">
        <v>26</v>
      </c>
      <c r="D170" s="70"/>
      <c r="E170" s="71" t="s">
        <v>5</v>
      </c>
      <c r="F170" s="72">
        <f>SUM(F143:F169)</f>
        <v>4199652.55</v>
      </c>
    </row>
    <row r="172" spans="2:6">
      <c r="B172" s="321" t="s">
        <v>48</v>
      </c>
      <c r="C172" s="321"/>
      <c r="D172" s="321"/>
      <c r="E172" s="321"/>
    </row>
    <row r="173" spans="2:6">
      <c r="B173" s="12"/>
      <c r="C173" s="12"/>
      <c r="D173" s="12"/>
      <c r="E173" s="12"/>
    </row>
    <row r="174" spans="2:6">
      <c r="B174" s="202" t="s">
        <v>2</v>
      </c>
      <c r="C174" s="202" t="s">
        <v>34</v>
      </c>
      <c r="D174" s="200" t="s">
        <v>35</v>
      </c>
      <c r="E174" s="200" t="s">
        <v>36</v>
      </c>
    </row>
    <row r="175" spans="2:6">
      <c r="B175" s="202">
        <v>1</v>
      </c>
      <c r="C175" s="202">
        <v>2</v>
      </c>
      <c r="D175" s="200">
        <v>3</v>
      </c>
      <c r="E175" s="200">
        <v>4</v>
      </c>
    </row>
    <row r="176" spans="2:6">
      <c r="B176" s="15">
        <v>1</v>
      </c>
      <c r="C176" s="16" t="s">
        <v>52</v>
      </c>
      <c r="D176" s="15">
        <v>1</v>
      </c>
      <c r="E176" s="19">
        <v>15000</v>
      </c>
    </row>
    <row r="177" spans="2:6">
      <c r="B177" s="78">
        <v>2</v>
      </c>
      <c r="C177" s="79" t="s">
        <v>171</v>
      </c>
      <c r="D177" s="78"/>
      <c r="E177" s="80">
        <f>SUM(E178:E181)</f>
        <v>618348</v>
      </c>
    </row>
    <row r="178" spans="2:6">
      <c r="B178" s="83" t="s">
        <v>16</v>
      </c>
      <c r="C178" s="17" t="s">
        <v>172</v>
      </c>
      <c r="D178" s="15">
        <v>4</v>
      </c>
      <c r="E178" s="19">
        <f>132548</f>
        <v>132548</v>
      </c>
    </row>
    <row r="179" spans="2:6">
      <c r="B179" s="83" t="s">
        <v>18</v>
      </c>
      <c r="C179" s="16" t="s">
        <v>174</v>
      </c>
      <c r="D179" s="15">
        <v>2</v>
      </c>
      <c r="E179" s="19">
        <f>215000</f>
        <v>215000</v>
      </c>
    </row>
    <row r="180" spans="2:6">
      <c r="B180" s="83" t="s">
        <v>19</v>
      </c>
      <c r="C180" s="16" t="s">
        <v>176</v>
      </c>
      <c r="D180" s="15">
        <v>1</v>
      </c>
      <c r="E180" s="19">
        <f>28300*4</f>
        <v>113200</v>
      </c>
    </row>
    <row r="181" spans="2:6">
      <c r="B181" s="83" t="s">
        <v>23</v>
      </c>
      <c r="C181" s="16" t="s">
        <v>178</v>
      </c>
      <c r="D181" s="15">
        <v>1</v>
      </c>
      <c r="E181" s="19">
        <f>4800*12+50000+50000</f>
        <v>157600</v>
      </c>
    </row>
    <row r="182" spans="2:6">
      <c r="B182" s="77" t="s">
        <v>24</v>
      </c>
      <c r="C182" s="16" t="s">
        <v>1541</v>
      </c>
      <c r="D182" s="15">
        <v>1</v>
      </c>
      <c r="E182" s="19">
        <f>4957708.36-167000</f>
        <v>4790708.3600000003</v>
      </c>
    </row>
    <row r="183" spans="2:6" ht="28.2">
      <c r="B183" s="77" t="s">
        <v>80</v>
      </c>
      <c r="C183" s="18" t="s">
        <v>188</v>
      </c>
      <c r="D183" s="15">
        <v>1</v>
      </c>
      <c r="E183" s="19">
        <v>35000</v>
      </c>
    </row>
    <row r="184" spans="2:6">
      <c r="B184" s="77" t="s">
        <v>81</v>
      </c>
      <c r="C184" s="18" t="s">
        <v>190</v>
      </c>
      <c r="D184" s="15">
        <v>1</v>
      </c>
      <c r="E184" s="19">
        <v>70000</v>
      </c>
    </row>
    <row r="185" spans="2:6">
      <c r="B185" s="69"/>
      <c r="C185" s="70" t="s">
        <v>26</v>
      </c>
      <c r="D185" s="71" t="s">
        <v>5</v>
      </c>
      <c r="E185" s="72">
        <f>E176+E177+E182+E183+E184+1207921.17</f>
        <v>6736977.5300000003</v>
      </c>
    </row>
    <row r="187" spans="2:6">
      <c r="B187" s="321" t="s">
        <v>56</v>
      </c>
      <c r="C187" s="321"/>
      <c r="D187" s="321"/>
      <c r="E187" s="321"/>
      <c r="F187" s="321"/>
    </row>
    <row r="188" spans="2:6">
      <c r="B188" s="12"/>
      <c r="C188" s="12"/>
      <c r="D188" s="12"/>
      <c r="E188" s="12"/>
      <c r="F188" s="12"/>
    </row>
    <row r="189" spans="2:6">
      <c r="B189" s="12"/>
      <c r="C189" s="12"/>
      <c r="D189" s="12"/>
      <c r="E189" s="12"/>
      <c r="F189" s="12"/>
    </row>
    <row r="190" spans="2:6" ht="21.6">
      <c r="B190" s="202" t="s">
        <v>2</v>
      </c>
      <c r="C190" s="202" t="s">
        <v>34</v>
      </c>
      <c r="D190" s="202" t="s">
        <v>53</v>
      </c>
      <c r="E190" s="200" t="s">
        <v>54</v>
      </c>
      <c r="F190" s="200" t="s">
        <v>55</v>
      </c>
    </row>
    <row r="191" spans="2:6">
      <c r="B191" s="202"/>
      <c r="C191" s="202">
        <v>1</v>
      </c>
      <c r="D191" s="202">
        <v>2</v>
      </c>
      <c r="E191" s="200">
        <v>3</v>
      </c>
      <c r="F191" s="202">
        <v>4</v>
      </c>
    </row>
    <row r="192" spans="2:6">
      <c r="B192" s="15">
        <v>1</v>
      </c>
      <c r="C192" s="16" t="s">
        <v>831</v>
      </c>
      <c r="D192" s="16">
        <v>1</v>
      </c>
      <c r="E192" s="19">
        <v>388000</v>
      </c>
      <c r="F192" s="19">
        <v>388000</v>
      </c>
    </row>
    <row r="193" spans="2:6">
      <c r="B193" s="15">
        <v>2</v>
      </c>
      <c r="C193" s="16" t="s">
        <v>832</v>
      </c>
      <c r="D193" s="16">
        <v>100</v>
      </c>
      <c r="E193" s="19">
        <v>8000</v>
      </c>
      <c r="F193" s="19">
        <f>8000000+3000000-183715.4</f>
        <v>10816284.6</v>
      </c>
    </row>
    <row r="194" spans="2:6">
      <c r="B194" s="15">
        <v>3</v>
      </c>
      <c r="C194" s="16" t="s">
        <v>833</v>
      </c>
      <c r="D194" s="16">
        <v>1000</v>
      </c>
      <c r="E194" s="19">
        <v>3000</v>
      </c>
      <c r="F194" s="19">
        <v>3000000</v>
      </c>
    </row>
    <row r="195" spans="2:6" ht="28.2">
      <c r="B195" s="15">
        <v>4</v>
      </c>
      <c r="C195" s="20" t="s">
        <v>834</v>
      </c>
      <c r="D195" s="17">
        <v>50</v>
      </c>
      <c r="E195" s="19">
        <v>16000</v>
      </c>
      <c r="F195" s="19">
        <v>350000</v>
      </c>
    </row>
    <row r="196" spans="2:6">
      <c r="B196" s="15">
        <v>5</v>
      </c>
      <c r="C196" s="18" t="s">
        <v>57</v>
      </c>
      <c r="D196" s="18">
        <v>30</v>
      </c>
      <c r="E196" s="19">
        <v>2200</v>
      </c>
      <c r="F196" s="19">
        <v>2307435</v>
      </c>
    </row>
    <row r="197" spans="2:6">
      <c r="B197" s="15">
        <v>6</v>
      </c>
      <c r="C197" s="16" t="s">
        <v>835</v>
      </c>
      <c r="D197" s="16">
        <v>150000</v>
      </c>
      <c r="E197" s="19">
        <v>52.6</v>
      </c>
      <c r="F197" s="19">
        <v>5890000</v>
      </c>
    </row>
    <row r="198" spans="2:6">
      <c r="B198" s="15">
        <v>7</v>
      </c>
      <c r="C198" s="16" t="s">
        <v>836</v>
      </c>
      <c r="D198" s="16">
        <v>10000</v>
      </c>
      <c r="E198" s="19">
        <v>1100</v>
      </c>
      <c r="F198" s="19">
        <f>15284000</f>
        <v>15284000</v>
      </c>
    </row>
    <row r="199" spans="2:6">
      <c r="B199" s="15">
        <v>8</v>
      </c>
      <c r="C199" s="16" t="s">
        <v>837</v>
      </c>
      <c r="D199" s="16">
        <v>10000</v>
      </c>
      <c r="E199" s="19">
        <v>1010</v>
      </c>
      <c r="F199" s="19">
        <v>12630672.23</v>
      </c>
    </row>
    <row r="200" spans="2:6">
      <c r="B200" s="15">
        <v>9</v>
      </c>
      <c r="C200" s="16" t="s">
        <v>838</v>
      </c>
      <c r="D200" s="16">
        <v>1000</v>
      </c>
      <c r="E200" s="19">
        <v>465</v>
      </c>
      <c r="F200" s="19">
        <v>165000</v>
      </c>
    </row>
    <row r="201" spans="2:6">
      <c r="B201" s="15">
        <v>10</v>
      </c>
      <c r="C201" s="16" t="s">
        <v>839</v>
      </c>
      <c r="D201" s="16">
        <v>1000</v>
      </c>
      <c r="E201" s="19">
        <v>400</v>
      </c>
      <c r="F201" s="19">
        <f>100000</f>
        <v>100000</v>
      </c>
    </row>
    <row r="202" spans="2:6">
      <c r="B202" s="15">
        <v>11</v>
      </c>
      <c r="C202" s="16" t="s">
        <v>840</v>
      </c>
      <c r="D202" s="16">
        <v>1000</v>
      </c>
      <c r="E202" s="19">
        <v>1000</v>
      </c>
      <c r="F202" s="19">
        <v>700000</v>
      </c>
    </row>
    <row r="203" spans="2:6">
      <c r="B203" s="15">
        <v>12</v>
      </c>
      <c r="C203" s="16" t="s">
        <v>841</v>
      </c>
      <c r="D203" s="16">
        <v>100</v>
      </c>
      <c r="E203" s="19">
        <v>6004</v>
      </c>
      <c r="F203" s="19">
        <v>603595.17000000004</v>
      </c>
    </row>
    <row r="204" spans="2:6">
      <c r="B204" s="15">
        <v>13</v>
      </c>
      <c r="C204" s="16" t="s">
        <v>1542</v>
      </c>
      <c r="D204" s="16">
        <v>100</v>
      </c>
      <c r="E204" s="19">
        <v>1000</v>
      </c>
      <c r="F204" s="19">
        <v>100000</v>
      </c>
    </row>
    <row r="205" spans="2:6">
      <c r="B205" s="15">
        <v>14</v>
      </c>
      <c r="C205" s="16" t="s">
        <v>842</v>
      </c>
      <c r="D205" s="16">
        <v>1000</v>
      </c>
      <c r="E205" s="19">
        <v>500</v>
      </c>
      <c r="F205" s="19">
        <v>400000</v>
      </c>
    </row>
    <row r="206" spans="2:6">
      <c r="B206" s="15">
        <v>15</v>
      </c>
      <c r="C206" s="16" t="s">
        <v>1545</v>
      </c>
      <c r="D206" s="16">
        <v>100</v>
      </c>
      <c r="E206" s="19">
        <v>10000</v>
      </c>
      <c r="F206" s="19">
        <v>100000</v>
      </c>
    </row>
    <row r="207" spans="2:6">
      <c r="B207" s="15">
        <v>16</v>
      </c>
      <c r="C207" s="16" t="s">
        <v>1543</v>
      </c>
      <c r="D207" s="16">
        <v>1000</v>
      </c>
      <c r="E207" s="19">
        <v>4000</v>
      </c>
      <c r="F207" s="19">
        <f>4091340+1004420</f>
        <v>5095760</v>
      </c>
    </row>
    <row r="208" spans="2:6">
      <c r="B208" s="15">
        <v>17</v>
      </c>
      <c r="C208" s="16" t="s">
        <v>844</v>
      </c>
      <c r="D208" s="16">
        <v>1000</v>
      </c>
      <c r="E208" s="19">
        <v>400</v>
      </c>
      <c r="F208" s="19">
        <v>200000</v>
      </c>
    </row>
    <row r="209" spans="2:6">
      <c r="B209" s="15">
        <v>18</v>
      </c>
      <c r="C209" s="16" t="s">
        <v>1544</v>
      </c>
      <c r="D209" s="16">
        <v>1000</v>
      </c>
      <c r="E209" s="19">
        <v>2000</v>
      </c>
      <c r="F209" s="19">
        <v>209990</v>
      </c>
    </row>
    <row r="210" spans="2:6">
      <c r="B210" s="15">
        <v>19</v>
      </c>
      <c r="C210" s="16" t="s">
        <v>845</v>
      </c>
      <c r="D210" s="16">
        <v>2</v>
      </c>
      <c r="E210" s="19">
        <v>50000</v>
      </c>
      <c r="F210" s="19">
        <v>850000</v>
      </c>
    </row>
    <row r="211" spans="2:6">
      <c r="B211" s="15">
        <v>20</v>
      </c>
      <c r="C211" s="16" t="s">
        <v>189</v>
      </c>
      <c r="D211" s="16">
        <v>1000</v>
      </c>
      <c r="E211" s="19">
        <v>500</v>
      </c>
      <c r="F211" s="19">
        <v>658141</v>
      </c>
    </row>
    <row r="212" spans="2:6">
      <c r="B212" s="69"/>
      <c r="C212" s="70" t="s">
        <v>26</v>
      </c>
      <c r="D212" s="70"/>
      <c r="E212" s="71" t="s">
        <v>5</v>
      </c>
      <c r="F212" s="72">
        <f>SUM(F192:F210)</f>
        <v>59190737</v>
      </c>
    </row>
  </sheetData>
  <mergeCells count="10">
    <mergeCell ref="C51:E51"/>
    <mergeCell ref="B35:E35"/>
    <mergeCell ref="B3:G3"/>
    <mergeCell ref="C57:F57"/>
    <mergeCell ref="B187:F187"/>
    <mergeCell ref="B91:F91"/>
    <mergeCell ref="C111:G111"/>
    <mergeCell ref="C131:F131"/>
    <mergeCell ref="B139:F139"/>
    <mergeCell ref="B172:E172"/>
  </mergeCells>
  <pageMargins left="0.70866141732283472" right="0.31496062992125984" top="0.35433070866141736" bottom="0.35433070866141736" header="0.31496062992125984" footer="0.31496062992125984"/>
  <pageSetup paperSize="9" scale="85" orientation="landscape" copies="2" r:id="rId1"/>
</worksheet>
</file>

<file path=xl/worksheets/sheet7.xml><?xml version="1.0" encoding="utf-8"?>
<worksheet xmlns="http://schemas.openxmlformats.org/spreadsheetml/2006/main" xmlns:r="http://schemas.openxmlformats.org/officeDocument/2006/relationships">
  <dimension ref="A2:L11"/>
  <sheetViews>
    <sheetView workbookViewId="0">
      <selection activeCell="D11" sqref="D11"/>
    </sheetView>
  </sheetViews>
  <sheetFormatPr defaultRowHeight="14.4"/>
  <cols>
    <col min="1" max="1" width="25.6640625" style="87" customWidth="1"/>
    <col min="2" max="2" width="6" style="75" customWidth="1"/>
    <col min="3" max="3" width="6.5546875" style="75" customWidth="1"/>
    <col min="4" max="4" width="15.33203125" style="107" customWidth="1"/>
    <col min="5" max="5" width="13.5546875" style="107" customWidth="1"/>
    <col min="6" max="6" width="15.44140625" style="107" customWidth="1"/>
    <col min="7" max="7" width="13.5546875" style="107" customWidth="1"/>
    <col min="8" max="8" width="13.6640625" style="107" customWidth="1"/>
    <col min="9" max="9" width="14.6640625" style="107" customWidth="1"/>
    <col min="10" max="12" width="10.44140625" style="107" customWidth="1"/>
  </cols>
  <sheetData>
    <row r="2" spans="1:12">
      <c r="A2" s="321" t="s">
        <v>1550</v>
      </c>
      <c r="B2" s="321"/>
      <c r="C2" s="321"/>
      <c r="D2" s="321"/>
      <c r="E2" s="321"/>
      <c r="F2" s="321"/>
      <c r="G2" s="321"/>
      <c r="H2" s="321"/>
      <c r="I2" s="321"/>
      <c r="J2" s="321"/>
      <c r="K2" s="321"/>
      <c r="L2" s="321"/>
    </row>
    <row r="4" spans="1:12" s="92" customFormat="1" ht="18.75" customHeight="1">
      <c r="A4" s="329" t="s">
        <v>42</v>
      </c>
      <c r="B4" s="329" t="s">
        <v>205</v>
      </c>
      <c r="C4" s="329" t="s">
        <v>240</v>
      </c>
      <c r="D4" s="331" t="s">
        <v>241</v>
      </c>
      <c r="E4" s="331"/>
      <c r="F4" s="331"/>
      <c r="G4" s="331"/>
      <c r="H4" s="331"/>
      <c r="I4" s="331"/>
      <c r="J4" s="331"/>
      <c r="K4" s="331"/>
      <c r="L4" s="331"/>
    </row>
    <row r="5" spans="1:12" s="93" customFormat="1" ht="10.199999999999999">
      <c r="A5" s="329"/>
      <c r="B5" s="329"/>
      <c r="C5" s="329"/>
      <c r="D5" s="330" t="s">
        <v>242</v>
      </c>
      <c r="E5" s="330"/>
      <c r="F5" s="330"/>
      <c r="G5" s="330" t="s">
        <v>115</v>
      </c>
      <c r="H5" s="330"/>
      <c r="I5" s="330"/>
      <c r="J5" s="330"/>
      <c r="K5" s="330"/>
      <c r="L5" s="330"/>
    </row>
    <row r="6" spans="1:12" s="92" customFormat="1" ht="45.75" customHeight="1">
      <c r="A6" s="329"/>
      <c r="B6" s="329"/>
      <c r="C6" s="329"/>
      <c r="D6" s="304" t="s">
        <v>1533</v>
      </c>
      <c r="E6" s="304" t="s">
        <v>1534</v>
      </c>
      <c r="F6" s="304" t="s">
        <v>1535</v>
      </c>
      <c r="G6" s="331" t="s">
        <v>904</v>
      </c>
      <c r="H6" s="331"/>
      <c r="I6" s="331"/>
      <c r="J6" s="331" t="s">
        <v>903</v>
      </c>
      <c r="K6" s="331"/>
      <c r="L6" s="331"/>
    </row>
    <row r="7" spans="1:12" s="92" customFormat="1" ht="33.75" customHeight="1">
      <c r="A7" s="329"/>
      <c r="B7" s="329"/>
      <c r="C7" s="329"/>
      <c r="D7" s="106"/>
      <c r="E7" s="106"/>
      <c r="F7" s="106"/>
      <c r="G7" s="304" t="s">
        <v>1533</v>
      </c>
      <c r="H7" s="304" t="s">
        <v>1534</v>
      </c>
      <c r="I7" s="304" t="s">
        <v>1536</v>
      </c>
      <c r="J7" s="304" t="s">
        <v>1533</v>
      </c>
      <c r="K7" s="304" t="s">
        <v>1534</v>
      </c>
      <c r="L7" s="304" t="s">
        <v>1536</v>
      </c>
    </row>
    <row r="8" spans="1:12" s="110" customFormat="1" ht="10.199999999999999">
      <c r="A8" s="108">
        <v>1</v>
      </c>
      <c r="B8" s="109">
        <v>2</v>
      </c>
      <c r="C8" s="109">
        <v>3</v>
      </c>
      <c r="D8" s="109">
        <v>4</v>
      </c>
      <c r="E8" s="109">
        <v>5</v>
      </c>
      <c r="F8" s="109">
        <v>6</v>
      </c>
      <c r="G8" s="109">
        <v>7</v>
      </c>
      <c r="H8" s="109">
        <v>8</v>
      </c>
      <c r="I8" s="109">
        <v>9</v>
      </c>
      <c r="J8" s="109">
        <v>10</v>
      </c>
      <c r="K8" s="109">
        <v>11</v>
      </c>
      <c r="L8" s="109">
        <v>12</v>
      </c>
    </row>
    <row r="9" spans="1:12" ht="43.5" customHeight="1">
      <c r="A9" s="18" t="s">
        <v>243</v>
      </c>
      <c r="B9" s="77" t="s">
        <v>244</v>
      </c>
      <c r="C9" s="15" t="s">
        <v>5</v>
      </c>
      <c r="D9" s="179">
        <f>G9+J9</f>
        <v>134852487.38999999</v>
      </c>
      <c r="E9" s="179">
        <f t="shared" ref="E9:I9" si="0">E10+E11</f>
        <v>134852487.38999999</v>
      </c>
      <c r="F9" s="179">
        <f t="shared" si="0"/>
        <v>134852487.38999999</v>
      </c>
      <c r="G9" s="179">
        <f t="shared" si="0"/>
        <v>134852487.38999999</v>
      </c>
      <c r="H9" s="179">
        <f t="shared" si="0"/>
        <v>134852487.38999999</v>
      </c>
      <c r="I9" s="179">
        <f t="shared" si="0"/>
        <v>134852487.38999999</v>
      </c>
      <c r="J9" s="179"/>
      <c r="K9" s="19"/>
      <c r="L9" s="19"/>
    </row>
    <row r="10" spans="1:12" ht="63.75" customHeight="1">
      <c r="A10" s="6" t="s">
        <v>245</v>
      </c>
      <c r="B10" s="77" t="s">
        <v>246</v>
      </c>
      <c r="C10" s="15" t="s">
        <v>5</v>
      </c>
      <c r="D10" s="179">
        <f>G10+J10</f>
        <v>7805334.2699999996</v>
      </c>
      <c r="E10" s="179">
        <f t="shared" ref="E10:F11" si="1">H10+K10</f>
        <v>7805334.2699999996</v>
      </c>
      <c r="F10" s="179">
        <f t="shared" si="1"/>
        <v>7805334.2699999996</v>
      </c>
      <c r="G10" s="179">
        <v>7805334.2699999996</v>
      </c>
      <c r="H10" s="179">
        <f>G10</f>
        <v>7805334.2699999996</v>
      </c>
      <c r="I10" s="179">
        <f>G10</f>
        <v>7805334.2699999996</v>
      </c>
      <c r="J10" s="179"/>
      <c r="K10" s="179"/>
      <c r="L10" s="179"/>
    </row>
    <row r="11" spans="1:12" ht="46.8">
      <c r="A11" s="6" t="s">
        <v>247</v>
      </c>
      <c r="B11" s="77" t="s">
        <v>248</v>
      </c>
      <c r="C11" s="15">
        <v>2019</v>
      </c>
      <c r="D11" s="179">
        <f>G11+J11</f>
        <v>127047153.11999999</v>
      </c>
      <c r="E11" s="179">
        <f t="shared" si="1"/>
        <v>127047153.11999999</v>
      </c>
      <c r="F11" s="179">
        <f t="shared" si="1"/>
        <v>127047153.11999999</v>
      </c>
      <c r="G11" s="179">
        <f>134852487.39-G10</f>
        <v>127047153.11999999</v>
      </c>
      <c r="H11" s="179">
        <f>G11</f>
        <v>127047153.11999999</v>
      </c>
      <c r="I11" s="179">
        <f>G11</f>
        <v>127047153.11999999</v>
      </c>
      <c r="J11" s="179"/>
      <c r="K11" s="179"/>
      <c r="L11" s="179"/>
    </row>
  </sheetData>
  <mergeCells count="9">
    <mergeCell ref="B4:B7"/>
    <mergeCell ref="A4:A7"/>
    <mergeCell ref="A2:L2"/>
    <mergeCell ref="D5:F5"/>
    <mergeCell ref="D4:L4"/>
    <mergeCell ref="G5:L5"/>
    <mergeCell ref="G6:I6"/>
    <mergeCell ref="J6:L6"/>
    <mergeCell ref="C4:C7"/>
  </mergeCells>
  <pageMargins left="0.11811023622047245" right="0.11811023622047245"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dimension ref="B1:I29"/>
  <sheetViews>
    <sheetView workbookViewId="0">
      <selection activeCell="D13" sqref="D13"/>
    </sheetView>
  </sheetViews>
  <sheetFormatPr defaultRowHeight="14.4"/>
  <cols>
    <col min="1" max="1" width="18.44140625" customWidth="1"/>
    <col min="2" max="2" width="33.5546875" customWidth="1"/>
    <col min="3" max="3" width="25.5546875" customWidth="1"/>
    <col min="4" max="4" width="37.6640625" customWidth="1"/>
  </cols>
  <sheetData>
    <row r="1" spans="2:6" ht="28.5" customHeight="1">
      <c r="B1" s="322" t="s">
        <v>1530</v>
      </c>
      <c r="C1" s="322"/>
      <c r="D1" s="322"/>
    </row>
    <row r="2" spans="2:6" ht="13.5" customHeight="1">
      <c r="B2" s="332" t="s">
        <v>249</v>
      </c>
      <c r="C2" s="332"/>
      <c r="D2" s="332"/>
    </row>
    <row r="3" spans="2:6" s="91" customFormat="1" ht="23.25" customHeight="1">
      <c r="B3" s="282" t="s">
        <v>42</v>
      </c>
      <c r="C3" s="282" t="s">
        <v>205</v>
      </c>
      <c r="D3" s="282" t="s">
        <v>250</v>
      </c>
    </row>
    <row r="4" spans="2:6" s="105" customFormat="1" ht="8.4">
      <c r="B4" s="284">
        <v>1</v>
      </c>
      <c r="C4" s="284">
        <v>2</v>
      </c>
      <c r="D4" s="284">
        <v>3</v>
      </c>
    </row>
    <row r="5" spans="2:6">
      <c r="B5" s="16" t="s">
        <v>238</v>
      </c>
      <c r="C5" s="77" t="s">
        <v>253</v>
      </c>
      <c r="D5" s="19">
        <v>2823702.4</v>
      </c>
    </row>
    <row r="6" spans="2:6">
      <c r="B6" s="16" t="s">
        <v>239</v>
      </c>
      <c r="C6" s="77" t="s">
        <v>254</v>
      </c>
      <c r="D6" s="74">
        <f>D5+D7-D8</f>
        <v>0</v>
      </c>
      <c r="F6" t="s">
        <v>1524</v>
      </c>
    </row>
    <row r="7" spans="2:6">
      <c r="B7" s="16" t="s">
        <v>251</v>
      </c>
      <c r="C7" s="77" t="s">
        <v>255</v>
      </c>
      <c r="D7" s="295">
        <v>3000000</v>
      </c>
    </row>
    <row r="8" spans="2:6">
      <c r="B8" s="16" t="s">
        <v>252</v>
      </c>
      <c r="C8" s="77" t="s">
        <v>256</v>
      </c>
      <c r="D8" s="295">
        <f>D7+D5</f>
        <v>5823702.4000000004</v>
      </c>
    </row>
    <row r="9" spans="2:6" ht="9.75" customHeight="1">
      <c r="C9" s="94"/>
    </row>
    <row r="10" spans="2:6" ht="18.75" customHeight="1">
      <c r="B10" s="333" t="s">
        <v>1509</v>
      </c>
      <c r="C10" s="333"/>
      <c r="D10" s="333"/>
    </row>
    <row r="11" spans="2:6">
      <c r="B11" s="15" t="s">
        <v>42</v>
      </c>
      <c r="C11" s="15" t="s">
        <v>205</v>
      </c>
      <c r="D11" s="15" t="s">
        <v>1551</v>
      </c>
    </row>
    <row r="12" spans="2:6" ht="9.75" customHeight="1">
      <c r="B12" s="285">
        <v>1</v>
      </c>
      <c r="C12" s="285">
        <v>2</v>
      </c>
      <c r="D12" s="284">
        <v>3</v>
      </c>
    </row>
    <row r="13" spans="2:6" ht="27.6">
      <c r="B13" s="286" t="s">
        <v>1510</v>
      </c>
      <c r="C13" s="287" t="s">
        <v>253</v>
      </c>
      <c r="D13" s="303">
        <v>2939.904</v>
      </c>
    </row>
    <row r="14" spans="2:6" ht="82.8">
      <c r="B14" s="288" t="s">
        <v>1511</v>
      </c>
      <c r="C14" s="287" t="s">
        <v>254</v>
      </c>
      <c r="D14" s="303"/>
    </row>
    <row r="15" spans="2:6">
      <c r="B15" s="291"/>
      <c r="C15" s="292"/>
      <c r="D15" s="293"/>
    </row>
    <row r="16" spans="2:6" ht="15.75" customHeight="1">
      <c r="B16" s="289" t="s">
        <v>259</v>
      </c>
      <c r="C16" s="12"/>
      <c r="D16" s="12"/>
    </row>
    <row r="17" spans="2:9" ht="15.75" customHeight="1">
      <c r="B17" s="289" t="s">
        <v>260</v>
      </c>
      <c r="C17" s="12"/>
      <c r="D17" s="290" t="s">
        <v>1519</v>
      </c>
    </row>
    <row r="18" spans="2:9" ht="9.15" customHeight="1">
      <c r="B18" s="101" t="s">
        <v>258</v>
      </c>
      <c r="C18" s="100"/>
      <c r="D18" s="102" t="s">
        <v>261</v>
      </c>
      <c r="I18" s="96"/>
    </row>
    <row r="19" spans="2:9" ht="4.5" customHeight="1">
      <c r="B19" s="283"/>
      <c r="C19" s="100"/>
      <c r="D19" s="102"/>
      <c r="I19" s="96"/>
    </row>
    <row r="20" spans="2:9" ht="39" customHeight="1">
      <c r="B20" s="297" t="s">
        <v>1517</v>
      </c>
      <c r="C20" s="12"/>
      <c r="D20" s="12" t="s">
        <v>1518</v>
      </c>
      <c r="I20" s="96"/>
    </row>
    <row r="21" spans="2:9" ht="9.15" customHeight="1">
      <c r="B21" s="101" t="s">
        <v>258</v>
      </c>
      <c r="C21" s="100"/>
      <c r="D21" s="102" t="s">
        <v>261</v>
      </c>
    </row>
    <row r="22" spans="2:9" ht="9.15" customHeight="1">
      <c r="B22" s="289"/>
      <c r="C22" s="12"/>
      <c r="D22" s="12"/>
    </row>
    <row r="23" spans="2:9">
      <c r="B23" s="289" t="s">
        <v>262</v>
      </c>
      <c r="C23" s="12"/>
      <c r="D23" s="12" t="s">
        <v>263</v>
      </c>
    </row>
    <row r="24" spans="2:9" ht="7.5" customHeight="1">
      <c r="B24" s="103" t="s">
        <v>264</v>
      </c>
      <c r="C24" s="13"/>
      <c r="D24" s="102" t="s">
        <v>261</v>
      </c>
    </row>
    <row r="25" spans="2:9" ht="6.75" customHeight="1">
      <c r="B25" s="103"/>
      <c r="C25" s="13"/>
      <c r="D25" s="102"/>
    </row>
    <row r="26" spans="2:9">
      <c r="B26" s="300" t="s">
        <v>1523</v>
      </c>
      <c r="C26" s="301"/>
      <c r="D26" s="301"/>
    </row>
    <row r="27" spans="2:9" ht="7.5" customHeight="1">
      <c r="B27" s="104" t="s">
        <v>265</v>
      </c>
      <c r="C27" s="105" t="s">
        <v>1512</v>
      </c>
      <c r="D27" s="102" t="s">
        <v>261</v>
      </c>
    </row>
    <row r="28" spans="2:9" ht="9.75" customHeight="1">
      <c r="B28" s="98" t="s">
        <v>257</v>
      </c>
    </row>
    <row r="29" spans="2:9">
      <c r="B29" s="294" t="s">
        <v>1531</v>
      </c>
    </row>
  </sheetData>
  <mergeCells count="3">
    <mergeCell ref="B1:D1"/>
    <mergeCell ref="B2:D2"/>
    <mergeCell ref="B10:D10"/>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T40"/>
  <sheetViews>
    <sheetView zoomScale="70" zoomScaleNormal="70" workbookViewId="0">
      <selection activeCell="G5" sqref="G5"/>
    </sheetView>
  </sheetViews>
  <sheetFormatPr defaultRowHeight="14.4"/>
  <cols>
    <col min="1" max="1" width="25.88671875" style="112" customWidth="1"/>
    <col min="2" max="2" width="7.44140625" style="112" customWidth="1"/>
    <col min="3" max="3" width="15" style="112" customWidth="1"/>
    <col min="4" max="4" width="13.88671875" style="113" customWidth="1"/>
    <col min="5" max="5" width="12.6640625" style="112" customWidth="1"/>
    <col min="6" max="6" width="12.44140625" style="112" customWidth="1"/>
    <col min="7" max="7" width="5.5546875" style="112" customWidth="1"/>
    <col min="8" max="8" width="14.88671875" style="113" customWidth="1"/>
    <col min="9" max="9" width="9.44140625" style="112" customWidth="1"/>
    <col min="10" max="10" width="8.44140625" style="112" customWidth="1"/>
    <col min="11" max="11" width="13" style="112" customWidth="1"/>
    <col min="12" max="12" width="13.6640625" style="112" customWidth="1"/>
    <col min="13" max="13" width="7.109375" style="112" customWidth="1"/>
    <col min="14" max="14" width="5.5546875" style="112" customWidth="1"/>
    <col min="15" max="15" width="11.44140625" style="112" customWidth="1"/>
    <col min="16" max="16" width="14.5546875" style="112" customWidth="1"/>
    <col min="17" max="17" width="11.44140625" style="112" customWidth="1"/>
    <col min="18" max="18" width="13" style="112" customWidth="1"/>
    <col min="19" max="20" width="7.88671875" style="112" customWidth="1"/>
  </cols>
  <sheetData>
    <row r="1" spans="1:20" ht="15.6">
      <c r="A1" s="111" t="s">
        <v>341</v>
      </c>
      <c r="F1" s="113" t="s">
        <v>266</v>
      </c>
      <c r="G1" s="113"/>
      <c r="I1" s="113"/>
      <c r="J1" s="113"/>
      <c r="K1" s="113"/>
      <c r="L1" s="113"/>
    </row>
    <row r="2" spans="1:20" ht="15.6">
      <c r="A2" s="111"/>
      <c r="F2" s="122" t="s">
        <v>267</v>
      </c>
      <c r="G2" s="122"/>
      <c r="H2" s="122"/>
      <c r="I2" s="113"/>
      <c r="J2" s="113"/>
      <c r="K2" s="113"/>
      <c r="L2" s="113"/>
    </row>
    <row r="3" spans="1:20">
      <c r="A3" s="114"/>
      <c r="R3" s="112" t="s">
        <v>268</v>
      </c>
    </row>
    <row r="4" spans="1:20">
      <c r="A4" s="339" t="s">
        <v>269</v>
      </c>
      <c r="B4" s="339" t="s">
        <v>270</v>
      </c>
      <c r="C4" s="339" t="s">
        <v>271</v>
      </c>
      <c r="D4" s="339" t="s">
        <v>272</v>
      </c>
      <c r="E4" s="339"/>
      <c r="F4" s="339"/>
      <c r="G4" s="339"/>
      <c r="H4" s="334" t="s">
        <v>273</v>
      </c>
      <c r="I4" s="335"/>
      <c r="J4" s="335"/>
      <c r="K4" s="335"/>
      <c r="L4" s="335"/>
      <c r="M4" s="335"/>
      <c r="N4" s="335"/>
      <c r="O4" s="335"/>
      <c r="P4" s="335"/>
      <c r="Q4" s="335"/>
      <c r="R4" s="335"/>
      <c r="S4" s="335"/>
      <c r="T4" s="336"/>
    </row>
    <row r="5" spans="1:20" s="23" customFormat="1" ht="91.8">
      <c r="A5" s="339"/>
      <c r="B5" s="339"/>
      <c r="C5" s="339"/>
      <c r="D5" s="128" t="s">
        <v>121</v>
      </c>
      <c r="E5" s="129" t="s">
        <v>274</v>
      </c>
      <c r="F5" s="129" t="s">
        <v>275</v>
      </c>
      <c r="G5" s="129" t="s">
        <v>276</v>
      </c>
      <c r="H5" s="128" t="s">
        <v>121</v>
      </c>
      <c r="I5" s="129" t="s">
        <v>277</v>
      </c>
      <c r="J5" s="129" t="s">
        <v>278</v>
      </c>
      <c r="K5" s="130" t="s">
        <v>279</v>
      </c>
      <c r="L5" s="130" t="s">
        <v>280</v>
      </c>
      <c r="M5" s="130" t="s">
        <v>281</v>
      </c>
      <c r="N5" s="130" t="s">
        <v>282</v>
      </c>
      <c r="O5" s="130" t="s">
        <v>283</v>
      </c>
      <c r="P5" s="130" t="s">
        <v>284</v>
      </c>
      <c r="Q5" s="130" t="s">
        <v>858</v>
      </c>
      <c r="R5" s="130" t="s">
        <v>285</v>
      </c>
      <c r="S5" s="130" t="s">
        <v>286</v>
      </c>
      <c r="T5" s="130" t="s">
        <v>287</v>
      </c>
    </row>
    <row r="6" spans="1:20">
      <c r="A6" s="115" t="s">
        <v>288</v>
      </c>
      <c r="B6" s="115" t="s">
        <v>289</v>
      </c>
      <c r="C6" s="115" t="s">
        <v>290</v>
      </c>
      <c r="D6" s="115" t="s">
        <v>291</v>
      </c>
      <c r="E6" s="115" t="s">
        <v>292</v>
      </c>
      <c r="F6" s="115" t="s">
        <v>293</v>
      </c>
      <c r="G6" s="115" t="s">
        <v>294</v>
      </c>
      <c r="H6" s="115" t="s">
        <v>295</v>
      </c>
      <c r="I6" s="115" t="s">
        <v>296</v>
      </c>
      <c r="J6" s="115" t="s">
        <v>297</v>
      </c>
      <c r="K6" s="115" t="s">
        <v>298</v>
      </c>
      <c r="L6" s="115" t="s">
        <v>299</v>
      </c>
      <c r="M6" s="115" t="s">
        <v>300</v>
      </c>
      <c r="N6" s="115" t="s">
        <v>301</v>
      </c>
      <c r="O6" s="115" t="s">
        <v>302</v>
      </c>
      <c r="P6" s="115" t="s">
        <v>303</v>
      </c>
      <c r="Q6" s="115" t="s">
        <v>304</v>
      </c>
      <c r="R6" s="115" t="s">
        <v>305</v>
      </c>
      <c r="S6" s="115" t="s">
        <v>306</v>
      </c>
      <c r="T6" s="115" t="s">
        <v>307</v>
      </c>
    </row>
    <row r="7" spans="1:20" ht="24">
      <c r="A7" s="116" t="s">
        <v>308</v>
      </c>
      <c r="B7" s="117" t="s">
        <v>309</v>
      </c>
      <c r="C7" s="203">
        <f>SUM(D7,H7)</f>
        <v>25566756.41</v>
      </c>
      <c r="D7" s="118">
        <f>SUM(E7:G7)</f>
        <v>15000000</v>
      </c>
      <c r="E7" s="118"/>
      <c r="F7" s="203">
        <v>15000000</v>
      </c>
      <c r="G7" s="120"/>
      <c r="H7" s="120">
        <f>SUM(I7:T7)</f>
        <v>10566756.41</v>
      </c>
      <c r="I7" s="120"/>
      <c r="J7" s="120"/>
      <c r="K7" s="121"/>
      <c r="L7" s="302">
        <f>1621993.76-R7</f>
        <v>1235327.47</v>
      </c>
      <c r="M7" s="121"/>
      <c r="N7" s="121"/>
      <c r="O7" s="121"/>
      <c r="P7" s="302">
        <v>8944762.6500000004</v>
      </c>
      <c r="Q7" s="121"/>
      <c r="R7" s="302">
        <f>166337.34+220328.95</f>
        <v>386666.29000000004</v>
      </c>
      <c r="S7" s="119"/>
      <c r="T7" s="119"/>
    </row>
    <row r="8" spans="1:20">
      <c r="A8" s="116" t="s">
        <v>872</v>
      </c>
      <c r="B8" s="117" t="s">
        <v>871</v>
      </c>
      <c r="C8" s="204">
        <f>SUM(D8,H8)</f>
        <v>0</v>
      </c>
      <c r="D8" s="118"/>
      <c r="E8" s="118"/>
      <c r="F8" s="120"/>
      <c r="G8" s="120"/>
      <c r="H8" s="120">
        <f>SUM(I8:T8)</f>
        <v>0</v>
      </c>
      <c r="I8" s="120"/>
      <c r="J8" s="120"/>
      <c r="K8" s="121"/>
      <c r="L8" s="121"/>
      <c r="M8" s="121"/>
      <c r="N8" s="121"/>
      <c r="O8" s="121"/>
      <c r="P8" s="121"/>
      <c r="Q8" s="121"/>
      <c r="R8" s="121"/>
      <c r="S8" s="119"/>
      <c r="T8" s="119"/>
    </row>
    <row r="9" spans="1:20">
      <c r="A9" s="116" t="s">
        <v>310</v>
      </c>
      <c r="B9" s="117" t="s">
        <v>309</v>
      </c>
      <c r="C9" s="203">
        <f>SUM(D9,H9)</f>
        <v>338387202.31</v>
      </c>
      <c r="D9" s="118">
        <f>SUM(E9:G9)</f>
        <v>17135919</v>
      </c>
      <c r="E9" s="120">
        <f t="shared" ref="E9:T9" si="0">E11</f>
        <v>8845904</v>
      </c>
      <c r="F9" s="120">
        <f>F11-F7</f>
        <v>8290015</v>
      </c>
      <c r="G9" s="120">
        <f t="shared" si="0"/>
        <v>0</v>
      </c>
      <c r="H9" s="120">
        <f>K9+L9+N9+P9+R9+Q9</f>
        <v>321251283.31</v>
      </c>
      <c r="I9" s="120">
        <f t="shared" si="0"/>
        <v>0</v>
      </c>
      <c r="J9" s="120">
        <f t="shared" si="0"/>
        <v>0</v>
      </c>
      <c r="K9" s="120">
        <f>K11-K7</f>
        <v>1402944.96</v>
      </c>
      <c r="L9" s="120">
        <f>22000000</f>
        <v>22000000</v>
      </c>
      <c r="M9" s="120">
        <f t="shared" si="0"/>
        <v>0</v>
      </c>
      <c r="N9" s="120">
        <f t="shared" si="0"/>
        <v>0</v>
      </c>
      <c r="O9" s="120">
        <f t="shared" si="0"/>
        <v>0</v>
      </c>
      <c r="P9" s="120">
        <f>P11-P7-Q8</f>
        <v>295268338.35000002</v>
      </c>
      <c r="Q9" s="120"/>
      <c r="R9" s="120">
        <f>900000+1680000</f>
        <v>2580000</v>
      </c>
      <c r="S9" s="118">
        <f t="shared" si="0"/>
        <v>0</v>
      </c>
      <c r="T9" s="118">
        <f t="shared" si="0"/>
        <v>0</v>
      </c>
    </row>
    <row r="10" spans="1:20" ht="24">
      <c r="A10" s="116" t="s">
        <v>311</v>
      </c>
      <c r="B10" s="117" t="s">
        <v>309</v>
      </c>
      <c r="C10" s="203"/>
      <c r="D10" s="118">
        <f>SUM(E10:G10)</f>
        <v>0</v>
      </c>
      <c r="E10" s="120"/>
      <c r="F10" s="120"/>
      <c r="G10" s="120"/>
      <c r="H10" s="120"/>
      <c r="I10" s="120">
        <v>0</v>
      </c>
      <c r="J10" s="120">
        <f>J7+J9-J11</f>
        <v>0</v>
      </c>
      <c r="K10" s="120">
        <f>K7+K9-K11</f>
        <v>0</v>
      </c>
      <c r="L10" s="120"/>
      <c r="M10" s="120">
        <f t="shared" ref="M10:T10" si="1">M7+M9-M11</f>
        <v>0</v>
      </c>
      <c r="N10" s="120">
        <f t="shared" si="1"/>
        <v>0</v>
      </c>
      <c r="O10" s="120">
        <f t="shared" si="1"/>
        <v>0</v>
      </c>
      <c r="P10" s="120"/>
      <c r="Q10" s="120"/>
      <c r="R10" s="120"/>
      <c r="S10" s="118">
        <f t="shared" si="1"/>
        <v>0</v>
      </c>
      <c r="T10" s="118">
        <f t="shared" si="1"/>
        <v>0</v>
      </c>
    </row>
    <row r="11" spans="1:20">
      <c r="A11" s="116" t="s">
        <v>312</v>
      </c>
      <c r="B11" s="117">
        <v>900</v>
      </c>
      <c r="C11" s="203">
        <f>SUM(D11,H11)</f>
        <v>363953958.72000003</v>
      </c>
      <c r="D11" s="118">
        <f>SUM(E11:G11)</f>
        <v>32135919</v>
      </c>
      <c r="E11" s="120">
        <f>SUM(E13:E31)</f>
        <v>8845904</v>
      </c>
      <c r="F11" s="120">
        <f>SUM(F13:F31)</f>
        <v>23290015</v>
      </c>
      <c r="G11" s="120">
        <f>SUM(G13:G31)</f>
        <v>0</v>
      </c>
      <c r="H11" s="120">
        <f>SUM(H13:H31)</f>
        <v>331818039.72000003</v>
      </c>
      <c r="I11" s="120">
        <f t="shared" ref="I11:T11" si="2">SUM(I13:I31)</f>
        <v>0</v>
      </c>
      <c r="J11" s="120">
        <f t="shared" si="2"/>
        <v>0</v>
      </c>
      <c r="K11" s="120">
        <f t="shared" si="2"/>
        <v>1402944.96</v>
      </c>
      <c r="L11" s="120">
        <f t="shared" si="2"/>
        <v>23235327.469999999</v>
      </c>
      <c r="M11" s="120">
        <f t="shared" si="2"/>
        <v>0</v>
      </c>
      <c r="N11" s="120">
        <f t="shared" si="2"/>
        <v>0</v>
      </c>
      <c r="O11" s="120">
        <f t="shared" si="2"/>
        <v>0</v>
      </c>
      <c r="P11" s="120">
        <f t="shared" si="2"/>
        <v>304213101</v>
      </c>
      <c r="Q11" s="120">
        <f t="shared" si="2"/>
        <v>0</v>
      </c>
      <c r="R11" s="120">
        <f>SUM(R13:R31)</f>
        <v>2966666.2899999996</v>
      </c>
      <c r="S11" s="118">
        <f t="shared" si="2"/>
        <v>0</v>
      </c>
      <c r="T11" s="118">
        <f t="shared" si="2"/>
        <v>0</v>
      </c>
    </row>
    <row r="12" spans="1:20">
      <c r="A12" s="116" t="s">
        <v>313</v>
      </c>
      <c r="B12" s="117"/>
      <c r="C12" s="118"/>
      <c r="D12" s="118"/>
      <c r="E12" s="120"/>
      <c r="F12" s="120"/>
      <c r="G12" s="120"/>
      <c r="H12" s="120">
        <f>SUM(I12:T12)</f>
        <v>0</v>
      </c>
      <c r="I12" s="120"/>
      <c r="J12" s="120"/>
      <c r="K12" s="121"/>
      <c r="L12" s="121"/>
      <c r="M12" s="121"/>
      <c r="N12" s="121"/>
      <c r="O12" s="121"/>
      <c r="P12" s="121"/>
      <c r="Q12" s="121"/>
      <c r="R12" s="121"/>
      <c r="S12" s="119"/>
      <c r="T12" s="119"/>
    </row>
    <row r="13" spans="1:20" s="50" customFormat="1">
      <c r="A13" s="125" t="s">
        <v>314</v>
      </c>
      <c r="B13" s="126">
        <v>211</v>
      </c>
      <c r="C13" s="203">
        <f t="shared" ref="C13:C31" si="3">SUM(D13,H13)</f>
        <v>174817864.37</v>
      </c>
      <c r="D13" s="120">
        <f t="shared" ref="D13:D31" si="4">SUM(E13:G13)</f>
        <v>5653928.0700000003</v>
      </c>
      <c r="E13" s="120">
        <f>5573928.07+80000</f>
        <v>5653928.0700000003</v>
      </c>
      <c r="F13" s="120">
        <v>0</v>
      </c>
      <c r="G13" s="120"/>
      <c r="H13" s="120">
        <f t="shared" ref="H13:H31" si="5">SUM(I13:T13)</f>
        <v>169163936.30000001</v>
      </c>
      <c r="I13" s="120">
        <v>0</v>
      </c>
      <c r="J13" s="120"/>
      <c r="K13" s="121"/>
      <c r="L13" s="121">
        <f>8046385.5</f>
        <v>8046385.5</v>
      </c>
      <c r="M13" s="121"/>
      <c r="N13" s="121"/>
      <c r="O13" s="121">
        <v>0</v>
      </c>
      <c r="P13" s="121">
        <f>160096816</f>
        <v>160096816</v>
      </c>
      <c r="Q13" s="121"/>
      <c r="R13" s="121">
        <f>1020734.8</f>
        <v>1020734.8</v>
      </c>
      <c r="S13" s="121"/>
      <c r="T13" s="121"/>
    </row>
    <row r="14" spans="1:20" s="50" customFormat="1">
      <c r="A14" s="125" t="s">
        <v>315</v>
      </c>
      <c r="B14" s="126">
        <v>212</v>
      </c>
      <c r="C14" s="203">
        <f t="shared" si="3"/>
        <v>530000</v>
      </c>
      <c r="D14" s="120">
        <f t="shared" si="4"/>
        <v>10000</v>
      </c>
      <c r="E14" s="120">
        <v>10000</v>
      </c>
      <c r="F14" s="120"/>
      <c r="G14" s="120"/>
      <c r="H14" s="120">
        <f t="shared" si="5"/>
        <v>520000</v>
      </c>
      <c r="I14" s="120"/>
      <c r="J14" s="120"/>
      <c r="K14" s="121"/>
      <c r="L14" s="121">
        <v>100000</v>
      </c>
      <c r="M14" s="121"/>
      <c r="N14" s="121"/>
      <c r="O14" s="121"/>
      <c r="P14" s="121">
        <f>420000</f>
        <v>420000</v>
      </c>
      <c r="Q14" s="121"/>
      <c r="R14" s="121"/>
      <c r="S14" s="121"/>
      <c r="T14" s="121"/>
    </row>
    <row r="15" spans="1:20" s="50" customFormat="1" ht="24">
      <c r="A15" s="125" t="s">
        <v>316</v>
      </c>
      <c r="B15" s="126">
        <v>213</v>
      </c>
      <c r="C15" s="203">
        <f t="shared" si="3"/>
        <v>52273606.960000001</v>
      </c>
      <c r="D15" s="120">
        <f t="shared" si="4"/>
        <v>1690524.5</v>
      </c>
      <c r="E15" s="120">
        <v>1690524.5</v>
      </c>
      <c r="F15" s="120">
        <v>0</v>
      </c>
      <c r="G15" s="120"/>
      <c r="H15" s="120">
        <f>SUM(I15:T15)-Q15</f>
        <v>50583082.460000001</v>
      </c>
      <c r="I15" s="120">
        <v>0</v>
      </c>
      <c r="J15" s="120" t="s">
        <v>317</v>
      </c>
      <c r="K15" s="121"/>
      <c r="L15" s="121">
        <f>2405869.26</f>
        <v>2405869.2599999998</v>
      </c>
      <c r="M15" s="121"/>
      <c r="N15" s="121"/>
      <c r="O15" s="121">
        <v>0</v>
      </c>
      <c r="P15" s="121">
        <f>47868948</f>
        <v>47868948</v>
      </c>
      <c r="Q15" s="121"/>
      <c r="R15" s="121">
        <f>308265.2</f>
        <v>308265.2</v>
      </c>
      <c r="S15" s="121"/>
      <c r="T15" s="121"/>
    </row>
    <row r="16" spans="1:20" s="50" customFormat="1">
      <c r="A16" s="125" t="s">
        <v>318</v>
      </c>
      <c r="B16" s="126">
        <v>221</v>
      </c>
      <c r="C16" s="203">
        <f t="shared" si="3"/>
        <v>1475000</v>
      </c>
      <c r="D16" s="120">
        <f t="shared" si="4"/>
        <v>25000</v>
      </c>
      <c r="E16" s="120">
        <v>25000</v>
      </c>
      <c r="F16" s="120"/>
      <c r="G16" s="120"/>
      <c r="H16" s="120">
        <f t="shared" si="5"/>
        <v>1450000</v>
      </c>
      <c r="I16" s="120"/>
      <c r="J16" s="120"/>
      <c r="K16" s="121"/>
      <c r="L16" s="121">
        <f>10000-10000</f>
        <v>0</v>
      </c>
      <c r="M16" s="121"/>
      <c r="N16" s="121"/>
      <c r="O16" s="121"/>
      <c r="P16" s="121">
        <f>1450000</f>
        <v>1450000</v>
      </c>
      <c r="Q16" s="121"/>
      <c r="R16" s="121"/>
      <c r="S16" s="121"/>
      <c r="T16" s="121"/>
    </row>
    <row r="17" spans="1:20" s="50" customFormat="1">
      <c r="A17" s="125" t="s">
        <v>319</v>
      </c>
      <c r="B17" s="126">
        <v>222</v>
      </c>
      <c r="C17" s="203">
        <f t="shared" si="3"/>
        <v>0</v>
      </c>
      <c r="D17" s="120">
        <f t="shared" si="4"/>
        <v>0</v>
      </c>
      <c r="E17" s="120">
        <f>3255-3255</f>
        <v>0</v>
      </c>
      <c r="F17" s="120"/>
      <c r="G17" s="120"/>
      <c r="H17" s="120">
        <f t="shared" si="5"/>
        <v>0</v>
      </c>
      <c r="I17" s="120"/>
      <c r="J17" s="120"/>
      <c r="K17" s="121"/>
      <c r="L17" s="121">
        <v>0</v>
      </c>
      <c r="M17" s="121"/>
      <c r="N17" s="121"/>
      <c r="O17" s="121"/>
      <c r="P17" s="121"/>
      <c r="Q17" s="121"/>
      <c r="R17" s="121"/>
      <c r="S17" s="121"/>
      <c r="T17" s="121"/>
    </row>
    <row r="18" spans="1:20" s="50" customFormat="1">
      <c r="A18" s="125" t="s">
        <v>320</v>
      </c>
      <c r="B18" s="126">
        <v>223</v>
      </c>
      <c r="C18" s="203">
        <f t="shared" si="3"/>
        <v>26653814</v>
      </c>
      <c r="D18" s="120">
        <f t="shared" si="4"/>
        <v>800000</v>
      </c>
      <c r="E18" s="120">
        <f>800000</f>
        <v>800000</v>
      </c>
      <c r="F18" s="120"/>
      <c r="G18" s="120"/>
      <c r="H18" s="120">
        <f t="shared" si="5"/>
        <v>25853814</v>
      </c>
      <c r="I18" s="120"/>
      <c r="J18" s="120" t="s">
        <v>321</v>
      </c>
      <c r="K18" s="121"/>
      <c r="L18" s="121">
        <f>3853814</f>
        <v>3853814</v>
      </c>
      <c r="M18" s="121"/>
      <c r="N18" s="121"/>
      <c r="O18" s="121"/>
      <c r="P18" s="121">
        <f>22000000</f>
        <v>22000000</v>
      </c>
      <c r="Q18" s="121"/>
      <c r="R18" s="121"/>
      <c r="S18" s="121"/>
      <c r="T18" s="121"/>
    </row>
    <row r="19" spans="1:20" s="50" customFormat="1" ht="24">
      <c r="A19" s="125" t="s">
        <v>322</v>
      </c>
      <c r="B19" s="126">
        <v>224</v>
      </c>
      <c r="C19" s="203">
        <f t="shared" si="3"/>
        <v>1120000</v>
      </c>
      <c r="D19" s="120">
        <f t="shared" si="4"/>
        <v>0</v>
      </c>
      <c r="E19" s="120">
        <v>0</v>
      </c>
      <c r="F19" s="120"/>
      <c r="G19" s="120"/>
      <c r="H19" s="120">
        <f t="shared" si="5"/>
        <v>1120000</v>
      </c>
      <c r="I19" s="120"/>
      <c r="J19" s="120"/>
      <c r="K19" s="121">
        <f>0</f>
        <v>0</v>
      </c>
      <c r="L19" s="121">
        <v>0</v>
      </c>
      <c r="M19" s="121"/>
      <c r="N19" s="121"/>
      <c r="O19" s="121"/>
      <c r="P19" s="121">
        <v>1120000</v>
      </c>
      <c r="Q19" s="121"/>
      <c r="R19" s="121"/>
      <c r="S19" s="121"/>
      <c r="T19" s="121"/>
    </row>
    <row r="20" spans="1:20" s="50" customFormat="1" ht="24">
      <c r="A20" s="125" t="s">
        <v>323</v>
      </c>
      <c r="B20" s="126">
        <v>225</v>
      </c>
      <c r="C20" s="203">
        <f t="shared" si="3"/>
        <v>8720015</v>
      </c>
      <c r="D20" s="120">
        <f t="shared" si="4"/>
        <v>3320015</v>
      </c>
      <c r="E20" s="120">
        <f>100000</f>
        <v>100000</v>
      </c>
      <c r="F20" s="120">
        <f>2710000+362015+148000</f>
        <v>3220015</v>
      </c>
      <c r="G20" s="120"/>
      <c r="H20" s="120">
        <f t="shared" si="5"/>
        <v>5400000</v>
      </c>
      <c r="I20" s="120"/>
      <c r="J20" s="120"/>
      <c r="K20" s="121"/>
      <c r="L20" s="121">
        <f>1200000</f>
        <v>1200000</v>
      </c>
      <c r="M20" s="121"/>
      <c r="N20" s="121"/>
      <c r="O20" s="121"/>
      <c r="P20" s="121">
        <f>4200000</f>
        <v>4200000</v>
      </c>
      <c r="Q20" s="121"/>
      <c r="R20" s="121"/>
      <c r="S20" s="121"/>
      <c r="T20" s="121"/>
    </row>
    <row r="21" spans="1:20" s="50" customFormat="1">
      <c r="A21" s="125" t="s">
        <v>324</v>
      </c>
      <c r="B21" s="126">
        <v>226</v>
      </c>
      <c r="C21" s="203">
        <f t="shared" si="3"/>
        <v>8120200</v>
      </c>
      <c r="D21" s="120">
        <f t="shared" si="4"/>
        <v>100000</v>
      </c>
      <c r="E21" s="120">
        <f>100000</f>
        <v>100000</v>
      </c>
      <c r="F21" s="120"/>
      <c r="G21" s="120"/>
      <c r="H21" s="120">
        <f t="shared" si="5"/>
        <v>8020200</v>
      </c>
      <c r="I21" s="120">
        <v>0</v>
      </c>
      <c r="J21" s="120"/>
      <c r="K21" s="121"/>
      <c r="L21" s="121">
        <f>1200000</f>
        <v>1200000</v>
      </c>
      <c r="M21" s="121"/>
      <c r="N21" s="121"/>
      <c r="O21" s="121"/>
      <c r="P21" s="121">
        <v>6786600</v>
      </c>
      <c r="Q21" s="121"/>
      <c r="R21" s="121">
        <v>33600</v>
      </c>
      <c r="S21" s="121"/>
      <c r="T21" s="121"/>
    </row>
    <row r="22" spans="1:20" s="50" customFormat="1" ht="36">
      <c r="A22" s="125" t="s">
        <v>325</v>
      </c>
      <c r="B22" s="126">
        <v>241</v>
      </c>
      <c r="C22" s="203">
        <f t="shared" si="3"/>
        <v>0</v>
      </c>
      <c r="D22" s="120">
        <f t="shared" si="4"/>
        <v>0</v>
      </c>
      <c r="E22" s="120"/>
      <c r="F22" s="120"/>
      <c r="G22" s="120"/>
      <c r="H22" s="120">
        <f t="shared" si="5"/>
        <v>0</v>
      </c>
      <c r="I22" s="120"/>
      <c r="J22" s="120"/>
      <c r="K22" s="121"/>
      <c r="L22" s="121"/>
      <c r="M22" s="121"/>
      <c r="N22" s="121"/>
      <c r="O22" s="121"/>
      <c r="P22" s="121"/>
      <c r="Q22" s="121"/>
      <c r="R22" s="121"/>
      <c r="S22" s="121"/>
      <c r="T22" s="121"/>
    </row>
    <row r="23" spans="1:20" s="50" customFormat="1" ht="24">
      <c r="A23" s="125" t="s">
        <v>326</v>
      </c>
      <c r="B23" s="126">
        <v>262</v>
      </c>
      <c r="C23" s="203">
        <f t="shared" si="3"/>
        <v>0</v>
      </c>
      <c r="D23" s="120">
        <f t="shared" si="4"/>
        <v>0</v>
      </c>
      <c r="E23" s="120"/>
      <c r="F23" s="120"/>
      <c r="G23" s="120"/>
      <c r="H23" s="120">
        <f t="shared" si="5"/>
        <v>0</v>
      </c>
      <c r="I23" s="120"/>
      <c r="J23" s="120"/>
      <c r="K23" s="121"/>
      <c r="L23" s="121"/>
      <c r="M23" s="121"/>
      <c r="N23" s="121"/>
      <c r="O23" s="121"/>
      <c r="P23" s="121"/>
      <c r="Q23" s="121"/>
      <c r="R23" s="121"/>
      <c r="S23" s="121"/>
      <c r="T23" s="121"/>
    </row>
    <row r="24" spans="1:20" s="50" customFormat="1" ht="24">
      <c r="A24" s="125" t="s">
        <v>327</v>
      </c>
      <c r="B24" s="126">
        <v>263</v>
      </c>
      <c r="C24" s="203">
        <f t="shared" si="3"/>
        <v>0</v>
      </c>
      <c r="D24" s="120">
        <f t="shared" si="4"/>
        <v>0</v>
      </c>
      <c r="E24" s="120"/>
      <c r="F24" s="120"/>
      <c r="G24" s="120"/>
      <c r="H24" s="120">
        <f t="shared" si="5"/>
        <v>0</v>
      </c>
      <c r="I24" s="120"/>
      <c r="J24" s="120"/>
      <c r="K24" s="121"/>
      <c r="L24" s="121"/>
      <c r="M24" s="121"/>
      <c r="N24" s="121"/>
      <c r="O24" s="121"/>
      <c r="P24" s="121"/>
      <c r="Q24" s="121"/>
      <c r="R24" s="121"/>
      <c r="S24" s="121"/>
      <c r="T24" s="121"/>
    </row>
    <row r="25" spans="1:20" s="50" customFormat="1">
      <c r="A25" s="125" t="s">
        <v>328</v>
      </c>
      <c r="B25" s="126">
        <v>290</v>
      </c>
      <c r="C25" s="203">
        <f t="shared" si="3"/>
        <v>1480000</v>
      </c>
      <c r="D25" s="120">
        <f t="shared" si="4"/>
        <v>0</v>
      </c>
      <c r="E25" s="120">
        <v>0</v>
      </c>
      <c r="F25" s="120"/>
      <c r="G25" s="120"/>
      <c r="H25" s="120">
        <f t="shared" si="5"/>
        <v>1480000</v>
      </c>
      <c r="I25" s="120"/>
      <c r="J25" s="120"/>
      <c r="K25" s="121"/>
      <c r="L25" s="121">
        <f>500000-K25</f>
        <v>500000</v>
      </c>
      <c r="M25" s="121"/>
      <c r="N25" s="121"/>
      <c r="O25" s="121"/>
      <c r="P25" s="121">
        <f>980000</f>
        <v>980000</v>
      </c>
      <c r="Q25" s="121"/>
      <c r="R25" s="121"/>
      <c r="S25" s="121"/>
      <c r="T25" s="121"/>
    </row>
    <row r="26" spans="1:20" s="127" customFormat="1" ht="24">
      <c r="A26" s="125" t="s">
        <v>329</v>
      </c>
      <c r="B26" s="126">
        <v>310</v>
      </c>
      <c r="C26" s="203">
        <f t="shared" si="3"/>
        <v>21941422.890000001</v>
      </c>
      <c r="D26" s="120">
        <f t="shared" si="4"/>
        <v>18370000</v>
      </c>
      <c r="E26" s="120">
        <f>0</f>
        <v>0</v>
      </c>
      <c r="F26" s="120">
        <f>15000000+3370000</f>
        <v>18370000</v>
      </c>
      <c r="G26" s="120"/>
      <c r="H26" s="120">
        <f t="shared" si="5"/>
        <v>3571422.8899999997</v>
      </c>
      <c r="I26" s="120"/>
      <c r="J26" s="120"/>
      <c r="K26" s="121">
        <f>1000000</f>
        <v>1000000</v>
      </c>
      <c r="L26" s="121">
        <f>2941422.89-K26-R26</f>
        <v>1000000.0000000002</v>
      </c>
      <c r="M26" s="121"/>
      <c r="N26" s="121"/>
      <c r="O26" s="121"/>
      <c r="P26" s="121">
        <f>630000</f>
        <v>630000</v>
      </c>
      <c r="Q26" s="121"/>
      <c r="R26" s="121">
        <f>572000+149093.94+220328.95</f>
        <v>941422.8899999999</v>
      </c>
      <c r="S26" s="121"/>
      <c r="T26" s="121"/>
    </row>
    <row r="27" spans="1:20" s="127" customFormat="1" ht="24">
      <c r="A27" s="125" t="s">
        <v>330</v>
      </c>
      <c r="B27" s="126">
        <v>320</v>
      </c>
      <c r="C27" s="203">
        <f t="shared" si="3"/>
        <v>0</v>
      </c>
      <c r="D27" s="120">
        <f t="shared" si="4"/>
        <v>0</v>
      </c>
      <c r="E27" s="120"/>
      <c r="F27" s="120"/>
      <c r="G27" s="120"/>
      <c r="H27" s="120">
        <f t="shared" si="5"/>
        <v>0</v>
      </c>
      <c r="I27" s="120"/>
      <c r="J27" s="120"/>
      <c r="K27" s="121"/>
      <c r="L27" s="121"/>
      <c r="M27" s="121"/>
      <c r="N27" s="121"/>
      <c r="O27" s="121"/>
      <c r="P27" s="121"/>
      <c r="Q27" s="121"/>
      <c r="R27" s="121"/>
      <c r="S27" s="121"/>
      <c r="T27" s="121"/>
    </row>
    <row r="28" spans="1:20" s="127" customFormat="1" ht="24">
      <c r="A28" s="125" t="s">
        <v>331</v>
      </c>
      <c r="B28" s="126">
        <v>330</v>
      </c>
      <c r="C28" s="203">
        <f t="shared" si="3"/>
        <v>0</v>
      </c>
      <c r="D28" s="120">
        <f t="shared" si="4"/>
        <v>0</v>
      </c>
      <c r="E28" s="120"/>
      <c r="F28" s="120"/>
      <c r="G28" s="120"/>
      <c r="H28" s="120">
        <f t="shared" si="5"/>
        <v>0</v>
      </c>
      <c r="I28" s="120"/>
      <c r="J28" s="120"/>
      <c r="K28" s="121"/>
      <c r="L28" s="121"/>
      <c r="M28" s="121"/>
      <c r="N28" s="121"/>
      <c r="O28" s="121"/>
      <c r="P28" s="121"/>
      <c r="Q28" s="121"/>
      <c r="R28" s="121"/>
      <c r="S28" s="121"/>
      <c r="T28" s="121"/>
    </row>
    <row r="29" spans="1:20" s="127" customFormat="1" ht="24">
      <c r="A29" s="125" t="s">
        <v>332</v>
      </c>
      <c r="B29" s="126">
        <v>340</v>
      </c>
      <c r="C29" s="203">
        <f t="shared" si="3"/>
        <v>66822035.5</v>
      </c>
      <c r="D29" s="120">
        <f t="shared" si="4"/>
        <v>2166451.4300000002</v>
      </c>
      <c r="E29" s="120">
        <f>466451.43</f>
        <v>466451.43</v>
      </c>
      <c r="F29" s="120">
        <f>1700000</f>
        <v>1700000</v>
      </c>
      <c r="G29" s="120"/>
      <c r="H29" s="120">
        <f t="shared" si="5"/>
        <v>64655584.07</v>
      </c>
      <c r="I29" s="120"/>
      <c r="J29" s="120"/>
      <c r="K29" s="121">
        <f>402944.96</f>
        <v>402944.96</v>
      </c>
      <c r="L29" s="121">
        <f>5900000+94847.07-K29-R29</f>
        <v>4929258.71</v>
      </c>
      <c r="M29" s="121"/>
      <c r="N29" s="121">
        <v>0</v>
      </c>
      <c r="O29" s="121">
        <v>0</v>
      </c>
      <c r="P29" s="121">
        <f>58660737</f>
        <v>58660737</v>
      </c>
      <c r="Q29" s="121"/>
      <c r="R29" s="121">
        <f>487400+158000+17243.4</f>
        <v>662643.4</v>
      </c>
      <c r="S29" s="121"/>
      <c r="T29" s="121"/>
    </row>
    <row r="30" spans="1:20" s="50" customFormat="1" ht="36">
      <c r="A30" s="125" t="s">
        <v>333</v>
      </c>
      <c r="B30" s="126">
        <v>520</v>
      </c>
      <c r="C30" s="203">
        <f t="shared" si="3"/>
        <v>0</v>
      </c>
      <c r="D30" s="120">
        <f t="shared" si="4"/>
        <v>0</v>
      </c>
      <c r="E30" s="120"/>
      <c r="F30" s="120"/>
      <c r="G30" s="120"/>
      <c r="H30" s="120">
        <f t="shared" si="5"/>
        <v>0</v>
      </c>
      <c r="I30" s="120"/>
      <c r="J30" s="120"/>
      <c r="K30" s="121"/>
      <c r="L30" s="121"/>
      <c r="M30" s="121"/>
      <c r="N30" s="121"/>
      <c r="O30" s="121"/>
      <c r="P30" s="121"/>
      <c r="Q30" s="121"/>
      <c r="R30" s="121"/>
      <c r="S30" s="121"/>
      <c r="T30" s="121"/>
    </row>
    <row r="31" spans="1:20" s="50" customFormat="1" ht="24">
      <c r="A31" s="125" t="s">
        <v>334</v>
      </c>
      <c r="B31" s="126">
        <v>530</v>
      </c>
      <c r="C31" s="203">
        <f t="shared" si="3"/>
        <v>0</v>
      </c>
      <c r="D31" s="120">
        <f t="shared" si="4"/>
        <v>0</v>
      </c>
      <c r="E31" s="120"/>
      <c r="F31" s="120"/>
      <c r="G31" s="120"/>
      <c r="H31" s="120">
        <f t="shared" si="5"/>
        <v>0</v>
      </c>
      <c r="I31" s="120"/>
      <c r="J31" s="120"/>
      <c r="K31" s="121"/>
      <c r="L31" s="121"/>
      <c r="M31" s="121"/>
      <c r="N31" s="121"/>
      <c r="O31" s="121"/>
      <c r="P31" s="121"/>
      <c r="Q31" s="121"/>
      <c r="R31" s="121"/>
      <c r="S31" s="121"/>
      <c r="T31" s="121"/>
    </row>
    <row r="33" spans="1:20" ht="15.6">
      <c r="A33" s="99" t="s">
        <v>259</v>
      </c>
      <c r="C33" s="112" t="s">
        <v>335</v>
      </c>
      <c r="D33" s="338" t="s">
        <v>1520</v>
      </c>
      <c r="E33" s="338"/>
    </row>
    <row r="34" spans="1:20" s="132" customFormat="1" ht="8.4">
      <c r="A34" s="122"/>
      <c r="B34" s="122"/>
      <c r="C34" s="122" t="s">
        <v>336</v>
      </c>
      <c r="D34" s="337" t="s">
        <v>337</v>
      </c>
      <c r="E34" s="337"/>
      <c r="F34" s="122"/>
      <c r="G34" s="122"/>
      <c r="H34" s="131"/>
      <c r="I34" s="122"/>
      <c r="J34" s="122"/>
      <c r="K34" s="122"/>
      <c r="L34" s="122"/>
      <c r="M34" s="122"/>
      <c r="N34" s="122"/>
      <c r="O34" s="122"/>
      <c r="P34" s="122"/>
      <c r="Q34" s="122"/>
      <c r="R34" s="122"/>
      <c r="S34" s="122"/>
      <c r="T34" s="122"/>
    </row>
    <row r="35" spans="1:20" ht="15.6">
      <c r="A35" s="99" t="s">
        <v>1515</v>
      </c>
      <c r="C35" s="112" t="s">
        <v>335</v>
      </c>
      <c r="D35" s="338" t="s">
        <v>1516</v>
      </c>
      <c r="E35" s="338"/>
    </row>
    <row r="36" spans="1:20" s="132" customFormat="1" ht="8.4">
      <c r="A36" s="122"/>
      <c r="B36" s="122"/>
      <c r="C36" s="122" t="s">
        <v>336</v>
      </c>
      <c r="D36" s="337" t="s">
        <v>337</v>
      </c>
      <c r="E36" s="337"/>
      <c r="F36" s="122"/>
      <c r="G36" s="122"/>
      <c r="H36" s="131"/>
      <c r="I36" s="122"/>
      <c r="J36" s="122"/>
      <c r="K36" s="122"/>
      <c r="L36" s="122"/>
      <c r="M36" s="122"/>
      <c r="N36" s="122"/>
      <c r="O36" s="122"/>
      <c r="P36" s="122"/>
      <c r="Q36" s="122"/>
      <c r="R36" s="122"/>
      <c r="S36" s="122"/>
      <c r="T36" s="122"/>
    </row>
    <row r="37" spans="1:20" ht="15.6">
      <c r="A37" s="99" t="s">
        <v>338</v>
      </c>
      <c r="C37" s="112" t="s">
        <v>335</v>
      </c>
      <c r="D37" s="338" t="s">
        <v>339</v>
      </c>
      <c r="E37" s="338"/>
      <c r="F37" s="296" t="s">
        <v>1532</v>
      </c>
    </row>
    <row r="38" spans="1:20" s="132" customFormat="1" ht="8.4">
      <c r="A38" s="122" t="s">
        <v>340</v>
      </c>
      <c r="B38" s="122"/>
      <c r="C38" s="122" t="s">
        <v>336</v>
      </c>
      <c r="D38" s="337" t="s">
        <v>337</v>
      </c>
      <c r="E38" s="337"/>
      <c r="F38" s="122"/>
      <c r="G38" s="122"/>
      <c r="H38" s="131"/>
      <c r="I38" s="122"/>
      <c r="J38" s="122"/>
      <c r="K38" s="122"/>
      <c r="L38" s="122"/>
      <c r="M38" s="122"/>
      <c r="N38" s="122"/>
      <c r="O38" s="122"/>
      <c r="P38" s="122"/>
      <c r="Q38" s="122"/>
      <c r="R38" s="122"/>
      <c r="S38" s="122"/>
      <c r="T38" s="122"/>
    </row>
    <row r="39" spans="1:20">
      <c r="D39" s="112"/>
    </row>
    <row r="40" spans="1:20" ht="15.6">
      <c r="A40" s="99"/>
    </row>
  </sheetData>
  <mergeCells count="11">
    <mergeCell ref="A4:A5"/>
    <mergeCell ref="B4:B5"/>
    <mergeCell ref="C4:C5"/>
    <mergeCell ref="D4:G4"/>
    <mergeCell ref="D38:E38"/>
    <mergeCell ref="H4:T4"/>
    <mergeCell ref="D34:E34"/>
    <mergeCell ref="D35:E35"/>
    <mergeCell ref="D36:E36"/>
    <mergeCell ref="D37:E37"/>
    <mergeCell ref="D33:E33"/>
  </mergeCells>
  <pageMargins left="0" right="0"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Платные 1.1; 1.2</vt:lpstr>
      <vt:lpstr>Платные остальное</vt:lpstr>
      <vt:lpstr>Бюджет 1.1; 1.2</vt:lpstr>
      <vt:lpstr>Бюджет остальное</vt:lpstr>
      <vt:lpstr>ОМС 1.1; 1.2</vt:lpstr>
      <vt:lpstr>ОМС остальное</vt:lpstr>
      <vt:lpstr>Выпл.на закупку п.III.I</vt:lpstr>
      <vt:lpstr>4-5 Раздел (Врем.распоряжение)</vt:lpstr>
      <vt:lpstr>Детализированная</vt:lpstr>
      <vt:lpstr>Показ-ли по пост.и выплат пIII</vt:lpstr>
      <vt:lpstr>План ФХД 01.01.19</vt:lpstr>
      <vt:lpstr>Перечень платных услуг</vt: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User135</dc:creator>
  <cp:lastModifiedBy>User130</cp:lastModifiedBy>
  <cp:lastPrinted>2019-02-01T05:44:16Z</cp:lastPrinted>
  <dcterms:created xsi:type="dcterms:W3CDTF">2017-01-06T05:21:02Z</dcterms:created>
  <dcterms:modified xsi:type="dcterms:W3CDTF">2019-03-26T01:42:06Z</dcterms:modified>
</cp:coreProperties>
</file>