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48" windowWidth="19164" windowHeight="11028" firstSheet="7" activeTab="10"/>
  </bookViews>
  <sheets>
    <sheet name="Платные 1.1; 1.2" sheetId="26" r:id="rId1"/>
    <sheet name="Платные остальное" sheetId="25" r:id="rId2"/>
    <sheet name="Бюджет 1.1; 1.2" sheetId="24" r:id="rId3"/>
    <sheet name="Бюджет остальное" sheetId="23" r:id="rId4"/>
    <sheet name="ОМС 1.1; 1.2" sheetId="12" r:id="rId5"/>
    <sheet name="ОМС остальное" sheetId="1" r:id="rId6"/>
    <sheet name="Выпл.на закупку п.III.I" sheetId="14" r:id="rId7"/>
    <sheet name="4-5 Раздел (Врем.распоряжение)" sheetId="15" r:id="rId8"/>
    <sheet name="Детализированная" sheetId="17" r:id="rId9"/>
    <sheet name="Показ-ли по пост.и выплат пIII" sheetId="22" r:id="rId10"/>
    <sheet name="План ФХД 01.01.19" sheetId="19" r:id="rId11"/>
    <sheet name="Перечень платных услуг" sheetId="18" r:id="rId12"/>
    <sheet name="Лист1" sheetId="27" r:id="rId13"/>
  </sheets>
  <calcPr calcId="125725"/>
</workbook>
</file>

<file path=xl/calcChain.xml><?xml version="1.0" encoding="utf-8"?>
<calcChain xmlns="http://schemas.openxmlformats.org/spreadsheetml/2006/main">
  <c r="G11" i="14"/>
  <c r="L29" i="17"/>
  <c r="F29"/>
  <c r="F20"/>
  <c r="F26"/>
  <c r="K13" i="26"/>
  <c r="K11"/>
  <c r="K15"/>
  <c r="E13"/>
  <c r="F150" i="25"/>
  <c r="F149"/>
  <c r="F147"/>
  <c r="F142"/>
  <c r="F141"/>
  <c r="F144"/>
  <c r="F140"/>
  <c r="F148"/>
  <c r="E126"/>
  <c r="F106"/>
  <c r="F115"/>
  <c r="G85"/>
  <c r="G82"/>
  <c r="G79"/>
  <c r="G76"/>
  <c r="E84"/>
  <c r="D84"/>
  <c r="E81"/>
  <c r="D81"/>
  <c r="E78"/>
  <c r="D78"/>
  <c r="E5"/>
  <c r="E14"/>
  <c r="F198" i="1"/>
  <c r="F207"/>
  <c r="F201"/>
  <c r="E182"/>
  <c r="E179"/>
  <c r="E178"/>
  <c r="F167"/>
  <c r="F165"/>
  <c r="F144"/>
  <c r="F143"/>
  <c r="F166"/>
  <c r="F169"/>
  <c r="F146"/>
  <c r="F148"/>
  <c r="E117"/>
  <c r="D117"/>
  <c r="E123"/>
  <c r="D123"/>
  <c r="E120"/>
  <c r="D120"/>
  <c r="G118"/>
  <c r="G117" s="1"/>
  <c r="G115"/>
  <c r="D75"/>
  <c r="E39"/>
  <c r="E43"/>
  <c r="D40"/>
  <c r="F200" i="23"/>
  <c r="E173"/>
  <c r="E179"/>
  <c r="D105"/>
  <c r="E111"/>
  <c r="E110" s="1"/>
  <c r="E108"/>
  <c r="D110"/>
  <c r="E107"/>
  <c r="D107"/>
  <c r="G102"/>
  <c r="K58" i="12"/>
  <c r="K56"/>
  <c r="K53"/>
  <c r="K51"/>
  <c r="E56"/>
  <c r="E53"/>
  <c r="J16" i="24"/>
  <c r="J13"/>
  <c r="E28" i="23"/>
  <c r="F37" i="24"/>
  <c r="F36"/>
  <c r="I11" i="14"/>
  <c r="L26" i="17"/>
  <c r="L25"/>
  <c r="E29"/>
  <c r="E26"/>
  <c r="E21"/>
  <c r="E20"/>
  <c r="E18"/>
  <c r="H11" i="14"/>
  <c r="I10"/>
  <c r="H10"/>
  <c r="I33" i="22"/>
  <c r="I17"/>
  <c r="I14"/>
  <c r="E37"/>
  <c r="E27"/>
  <c r="E15"/>
  <c r="E14"/>
  <c r="D6" i="15"/>
  <c r="D8"/>
  <c r="L9" i="17"/>
  <c r="P20"/>
  <c r="P18"/>
  <c r="P15"/>
  <c r="L21"/>
  <c r="L20"/>
  <c r="L15"/>
  <c r="L13"/>
  <c r="K29"/>
  <c r="K26"/>
  <c r="K19"/>
  <c r="E13" l="1"/>
  <c r="L18"/>
  <c r="P29"/>
  <c r="P26"/>
  <c r="P25"/>
  <c r="P16"/>
  <c r="P14"/>
  <c r="P13" l="1"/>
  <c r="R29" l="1"/>
  <c r="R26"/>
  <c r="R15"/>
  <c r="R13"/>
  <c r="L7"/>
  <c r="R9"/>
  <c r="R7"/>
  <c r="E181" i="1" l="1"/>
  <c r="F75"/>
  <c r="D104" i="23"/>
  <c r="F113" i="25"/>
  <c r="F114"/>
  <c r="F110"/>
  <c r="G78"/>
  <c r="I151" i="19"/>
  <c r="I104"/>
  <c r="G105" i="23" l="1"/>
  <c r="G104" s="1"/>
  <c r="K37" i="22"/>
  <c r="L16" i="17"/>
  <c r="F38" i="24"/>
  <c r="E37" i="23" l="1"/>
  <c r="E34"/>
  <c r="E32"/>
  <c r="E29"/>
  <c r="E11" i="25" l="1"/>
  <c r="E9"/>
  <c r="E6"/>
  <c r="F74" i="1"/>
  <c r="D71"/>
  <c r="D66"/>
  <c r="D67"/>
  <c r="F67" s="1"/>
  <c r="F79"/>
  <c r="F193"/>
  <c r="E48"/>
  <c r="E40"/>
  <c r="E45"/>
  <c r="E42" s="1"/>
  <c r="K30" i="22"/>
  <c r="E124" i="25" l="1"/>
  <c r="E133" s="1"/>
  <c r="F112"/>
  <c r="F94"/>
  <c r="G84"/>
  <c r="G81"/>
  <c r="G56"/>
  <c r="G55"/>
  <c r="G54"/>
  <c r="G53"/>
  <c r="G52"/>
  <c r="G51"/>
  <c r="F28"/>
  <c r="E8"/>
  <c r="E4"/>
  <c r="H36" i="26"/>
  <c r="H35"/>
  <c r="H34"/>
  <c r="E17"/>
  <c r="D17"/>
  <c r="E15"/>
  <c r="K18"/>
  <c r="E11"/>
  <c r="F208" i="23"/>
  <c r="E169"/>
  <c r="E181" s="1"/>
  <c r="F137"/>
  <c r="G111"/>
  <c r="G110" s="1"/>
  <c r="G108"/>
  <c r="G107" s="1"/>
  <c r="G84"/>
  <c r="G83"/>
  <c r="G82"/>
  <c r="G81"/>
  <c r="G80"/>
  <c r="G79"/>
  <c r="F60"/>
  <c r="D54"/>
  <c r="D53"/>
  <c r="D52"/>
  <c r="D51"/>
  <c r="F50"/>
  <c r="E31"/>
  <c r="E27"/>
  <c r="G5"/>
  <c r="G4"/>
  <c r="F40" i="24"/>
  <c r="D20"/>
  <c r="C20"/>
  <c r="J20" s="1"/>
  <c r="D18"/>
  <c r="J18" s="1"/>
  <c r="D16"/>
  <c r="D13"/>
  <c r="D11"/>
  <c r="J11" s="1"/>
  <c r="H38" i="26" l="1"/>
  <c r="F151" i="25"/>
  <c r="E15"/>
  <c r="G62"/>
  <c r="F117"/>
  <c r="G8" i="23"/>
  <c r="E38"/>
  <c r="F65"/>
  <c r="G90"/>
  <c r="F145"/>
  <c r="J21" i="24"/>
  <c r="G87" i="25" l="1"/>
  <c r="G113" i="23"/>
  <c r="F212" i="1" l="1"/>
  <c r="E180"/>
  <c r="F168"/>
  <c r="F149"/>
  <c r="G124"/>
  <c r="G123" s="1"/>
  <c r="G121"/>
  <c r="G120" s="1"/>
  <c r="G105"/>
  <c r="G104"/>
  <c r="G103"/>
  <c r="G102"/>
  <c r="G101"/>
  <c r="G100"/>
  <c r="F78"/>
  <c r="F77"/>
  <c r="F73"/>
  <c r="F72"/>
  <c r="F71"/>
  <c r="F70"/>
  <c r="D69"/>
  <c r="F69" s="1"/>
  <c r="D68"/>
  <c r="F68" s="1"/>
  <c r="F66"/>
  <c r="D65"/>
  <c r="F65" s="1"/>
  <c r="G6"/>
  <c r="G9" s="1"/>
  <c r="G80" i="12"/>
  <c r="G79"/>
  <c r="G78"/>
  <c r="F64" i="1" l="1"/>
  <c r="G106"/>
  <c r="F170"/>
  <c r="F76"/>
  <c r="E177"/>
  <c r="E185" s="1"/>
  <c r="G82" i="12"/>
  <c r="K14" i="22"/>
  <c r="F81" i="1" l="1"/>
  <c r="G126"/>
  <c r="I26" i="22" l="1"/>
  <c r="H15" i="17"/>
  <c r="H8"/>
  <c r="C8" s="1"/>
  <c r="E11" i="14" l="1"/>
  <c r="F11"/>
  <c r="E10"/>
  <c r="F10"/>
  <c r="D23" i="22"/>
  <c r="K22"/>
  <c r="D22" s="1"/>
  <c r="D31"/>
  <c r="D32"/>
  <c r="D33"/>
  <c r="J26"/>
  <c r="J25" s="1"/>
  <c r="K13" l="1"/>
  <c r="K15" s="1"/>
  <c r="D15" s="1"/>
  <c r="J24"/>
  <c r="E26"/>
  <c r="I27"/>
  <c r="K27"/>
  <c r="D17"/>
  <c r="D16"/>
  <c r="D14"/>
  <c r="I44"/>
  <c r="H44"/>
  <c r="E44"/>
  <c r="I30"/>
  <c r="K26"/>
  <c r="I37"/>
  <c r="E25" l="1"/>
  <c r="D26"/>
  <c r="D30"/>
  <c r="K25"/>
  <c r="D27"/>
  <c r="I25"/>
  <c r="I24" s="1"/>
  <c r="D11" i="14"/>
  <c r="D10"/>
  <c r="I102" i="19"/>
  <c r="I100" s="1"/>
  <c r="I90"/>
  <c r="I88" s="1"/>
  <c r="H31" i="17"/>
  <c r="D31"/>
  <c r="C31"/>
  <c r="H30"/>
  <c r="D30"/>
  <c r="C30" s="1"/>
  <c r="H29"/>
  <c r="D29"/>
  <c r="H28"/>
  <c r="D28"/>
  <c r="H27"/>
  <c r="D27"/>
  <c r="C27" s="1"/>
  <c r="D26"/>
  <c r="H25"/>
  <c r="D25"/>
  <c r="H24"/>
  <c r="D24"/>
  <c r="H23"/>
  <c r="D23"/>
  <c r="H22"/>
  <c r="D22"/>
  <c r="C22"/>
  <c r="H21"/>
  <c r="D21"/>
  <c r="H20"/>
  <c r="D20"/>
  <c r="H19"/>
  <c r="D19"/>
  <c r="H18"/>
  <c r="D18"/>
  <c r="H17"/>
  <c r="E17"/>
  <c r="H16"/>
  <c r="D16"/>
  <c r="D15"/>
  <c r="H14"/>
  <c r="D14"/>
  <c r="H13"/>
  <c r="D13"/>
  <c r="H12"/>
  <c r="T11"/>
  <c r="S11"/>
  <c r="Q11"/>
  <c r="P11"/>
  <c r="P9" s="1"/>
  <c r="O11"/>
  <c r="O9" s="1"/>
  <c r="O10" s="1"/>
  <c r="N11"/>
  <c r="N9" s="1"/>
  <c r="M11"/>
  <c r="L11"/>
  <c r="K11"/>
  <c r="K9" s="1"/>
  <c r="J11"/>
  <c r="I11"/>
  <c r="I9" s="1"/>
  <c r="G11"/>
  <c r="G9" s="1"/>
  <c r="F11"/>
  <c r="D10"/>
  <c r="T9"/>
  <c r="T10" s="1"/>
  <c r="S9"/>
  <c r="S10" s="1"/>
  <c r="M9"/>
  <c r="M10" s="1"/>
  <c r="J9"/>
  <c r="J10" s="1"/>
  <c r="H7"/>
  <c r="D7"/>
  <c r="E9" i="14"/>
  <c r="F9"/>
  <c r="G9"/>
  <c r="H9"/>
  <c r="I9"/>
  <c r="E60" i="12"/>
  <c r="D60"/>
  <c r="K60" s="1"/>
  <c r="D36"/>
  <c r="F33"/>
  <c r="H33"/>
  <c r="J32"/>
  <c r="I32"/>
  <c r="J31"/>
  <c r="J33" s="1"/>
  <c r="I31"/>
  <c r="I33" s="1"/>
  <c r="G30"/>
  <c r="G33" s="1"/>
  <c r="F27"/>
  <c r="H27"/>
  <c r="J26"/>
  <c r="J27" s="1"/>
  <c r="I26"/>
  <c r="I27" s="1"/>
  <c r="G25"/>
  <c r="G27" s="1"/>
  <c r="F22"/>
  <c r="H22"/>
  <c r="J21"/>
  <c r="I21"/>
  <c r="J20"/>
  <c r="J22" s="1"/>
  <c r="I20"/>
  <c r="H15"/>
  <c r="J15" s="1"/>
  <c r="F16"/>
  <c r="J14"/>
  <c r="I14"/>
  <c r="G13"/>
  <c r="G16" s="1"/>
  <c r="G19"/>
  <c r="G22" s="1"/>
  <c r="H37" i="22" l="1"/>
  <c r="H24" s="1"/>
  <c r="F9" i="17"/>
  <c r="C18"/>
  <c r="I15" i="12"/>
  <c r="H16"/>
  <c r="E58"/>
  <c r="C20" i="17"/>
  <c r="C13"/>
  <c r="C21"/>
  <c r="D25" i="22"/>
  <c r="K10" i="17"/>
  <c r="K11" i="22"/>
  <c r="D17" i="17"/>
  <c r="C17" s="1"/>
  <c r="C7"/>
  <c r="K44" i="22"/>
  <c r="D44" s="1"/>
  <c r="H9" i="17"/>
  <c r="I13" i="22"/>
  <c r="I9" s="1"/>
  <c r="I45" s="1"/>
  <c r="R11" i="17"/>
  <c r="C24"/>
  <c r="C25"/>
  <c r="H26"/>
  <c r="H11" s="1"/>
  <c r="K24" i="22"/>
  <c r="C29" i="17"/>
  <c r="H20" i="22"/>
  <c r="D9" i="14"/>
  <c r="C15" i="17"/>
  <c r="C23"/>
  <c r="C28"/>
  <c r="I22" i="12"/>
  <c r="I132" i="19"/>
  <c r="C16" i="17"/>
  <c r="C14"/>
  <c r="C19"/>
  <c r="N10"/>
  <c r="E11"/>
  <c r="E51" i="12"/>
  <c r="K22"/>
  <c r="K27"/>
  <c r="K33"/>
  <c r="J16"/>
  <c r="I16"/>
  <c r="K61" l="1"/>
  <c r="K10" i="22"/>
  <c r="D11"/>
  <c r="D37"/>
  <c r="E24"/>
  <c r="D24" s="1"/>
  <c r="D20"/>
  <c r="H9"/>
  <c r="H45" s="1"/>
  <c r="C26" i="17"/>
  <c r="K16" i="12"/>
  <c r="K37" s="1"/>
  <c r="L37" s="1"/>
  <c r="I17" s="1"/>
  <c r="E9" i="17"/>
  <c r="E13" i="22" s="1"/>
  <c r="D11" i="17"/>
  <c r="C11" s="1"/>
  <c r="H17" i="12"/>
  <c r="J28"/>
  <c r="G23"/>
  <c r="F34"/>
  <c r="H23"/>
  <c r="F17"/>
  <c r="J23" l="1"/>
  <c r="H34"/>
  <c r="I23"/>
  <c r="G34"/>
  <c r="J17"/>
  <c r="G28"/>
  <c r="J34"/>
  <c r="F28"/>
  <c r="I34"/>
  <c r="F23"/>
  <c r="I28"/>
  <c r="G17"/>
  <c r="H28"/>
  <c r="H36" s="1"/>
  <c r="K9" i="22"/>
  <c r="K45" s="1"/>
  <c r="D10"/>
  <c r="E9"/>
  <c r="D13"/>
  <c r="D9" i="17"/>
  <c r="C9" s="1"/>
  <c r="F36" i="12"/>
  <c r="K17"/>
  <c r="J36"/>
  <c r="G36"/>
  <c r="I36"/>
  <c r="K28"/>
  <c r="K23"/>
  <c r="K34"/>
  <c r="D9" i="22" l="1"/>
  <c r="E45"/>
  <c r="D45" s="1"/>
  <c r="K36" i="12"/>
  <c r="E38" i="1"/>
  <c r="E49" l="1"/>
  <c r="K40" i="12" l="1"/>
</calcChain>
</file>

<file path=xl/sharedStrings.xml><?xml version="1.0" encoding="utf-8"?>
<sst xmlns="http://schemas.openxmlformats.org/spreadsheetml/2006/main" count="2318" uniqueCount="1553">
  <si>
    <t>Наименование государственного внебюджетного фонда</t>
  </si>
  <si>
    <t>Сумма взноса, руб.</t>
  </si>
  <si>
    <t>№ п/п</t>
  </si>
  <si>
    <t>Размер базы для начисления страховых взносов, руб</t>
  </si>
  <si>
    <t>Страховые взносы в Пенсионный фонд Российской Федерации, всего</t>
  </si>
  <si>
    <t>х</t>
  </si>
  <si>
    <t>1.1.</t>
  </si>
  <si>
    <t>в том числе:                                                                               по ставке 22,0%</t>
  </si>
  <si>
    <t>по ставке 10,0%</t>
  </si>
  <si>
    <t>1.2</t>
  </si>
  <si>
    <t>1.3</t>
  </si>
  <si>
    <t>с применением пониженных тарифов взносов в Пенсионный фонд Российской Федерации для отдельных категорий плательщиков</t>
  </si>
  <si>
    <t>2</t>
  </si>
  <si>
    <t>Страховые взносы в Фонд социального страхования Российской Федерации, всего</t>
  </si>
  <si>
    <t>2.1</t>
  </si>
  <si>
    <t>в том числе:                                                                               обязательное социальное страхование на случай временной нетрудоспособности и в связи с материнством по ставке 2,9%</t>
  </si>
  <si>
    <t>2.2</t>
  </si>
  <si>
    <t>с применением ставки взносов в Фонд социального страхования Российской Федерации по ставке 0,0%</t>
  </si>
  <si>
    <t>2.3</t>
  </si>
  <si>
    <t>2.4</t>
  </si>
  <si>
    <t>обязательное социальное страхование от несчастных случаев на производстве и профессиональных заболеваний по ставке 0,_%*</t>
  </si>
  <si>
    <t>*</t>
  </si>
  <si>
    <t xml:space="preserve">Указываются   страховые  тарифы,  дифференцированные  по  классам  профессионального  риска,  установленные  Федеральным законом от 22 декабря 2005   г.    N  179-ФЗ  "О  страховых  тарифах  на  обязательное социальное страхование  от  несчастных  случаев  на  производстве  и  профессиональных заболеваний  на  2006 год" (Собрание законодательства Российской Федерации, 2005, N 52, ст. 5592; 2015, N 51, ст. 7233).
</t>
  </si>
  <si>
    <t>2.5</t>
  </si>
  <si>
    <t>3</t>
  </si>
  <si>
    <t>ИТОГО</t>
  </si>
  <si>
    <t>ИТОГО:</t>
  </si>
  <si>
    <t>3. Расчет (обоснование) расходов на уплату налогов, сборов и иных платежей</t>
  </si>
  <si>
    <t>Код видов расходов</t>
  </si>
  <si>
    <t>Источник финансового обеспечения</t>
  </si>
  <si>
    <t>Наименование расходов</t>
  </si>
  <si>
    <t>Ставка налога , %</t>
  </si>
  <si>
    <t>Сумма исчисленного налога, подлежащего уплате, руб. (гр.3хгр.4/100)</t>
  </si>
  <si>
    <t>Земельный налог</t>
  </si>
  <si>
    <t xml:space="preserve">Наименование расходов </t>
  </si>
  <si>
    <t>Количество договоров</t>
  </si>
  <si>
    <t>Стоимость услуги, руб.</t>
  </si>
  <si>
    <t>Услуги спецтехники</t>
  </si>
  <si>
    <t>Оказание метрологических услуг</t>
  </si>
  <si>
    <t>Обслуживание тепловых счетчиков</t>
  </si>
  <si>
    <t xml:space="preserve">6.5. Расчет (обоснование) расходов на оплату работ, услуг по содержанию имущества </t>
  </si>
  <si>
    <t>6.4. Расчет (обоснование) расходов на аренду имущества</t>
  </si>
  <si>
    <t>Наименование показателя</t>
  </si>
  <si>
    <t>количество</t>
  </si>
  <si>
    <t>Стоимость с учетом НДС, руб.</t>
  </si>
  <si>
    <t>Аренда медицинского оборудования</t>
  </si>
  <si>
    <t>Ремонт и техническое обслуживание холодильного и вентиляционного оборудования</t>
  </si>
  <si>
    <t xml:space="preserve">Техническое обслуживание автомобилей </t>
  </si>
  <si>
    <t>6.6. Расчет (обоснование) расходов на оплату прочих работ, услуг</t>
  </si>
  <si>
    <t>Объект</t>
  </si>
  <si>
    <t>Количество работ (услуг)</t>
  </si>
  <si>
    <t>Стоимость работ (услуг), руб.</t>
  </si>
  <si>
    <t>Специальная оценка условий труда</t>
  </si>
  <si>
    <t>Количество</t>
  </si>
  <si>
    <t>Средняя стоимость, руб.</t>
  </si>
  <si>
    <t>Сумма, руб (гр.2хгр.3)</t>
  </si>
  <si>
    <t>6.7. Расчет (обоснование) расходов на приобретение основных средств, материальных запасов</t>
  </si>
  <si>
    <t>Поставка рентгенпленки</t>
  </si>
  <si>
    <t>Ставка арендной платы (руб)</t>
  </si>
  <si>
    <t>851; 852</t>
  </si>
  <si>
    <t>1.4</t>
  </si>
  <si>
    <t>1.5</t>
  </si>
  <si>
    <t>Марка транспортного средства  ФОРД (1 единица)</t>
  </si>
  <si>
    <t>Марка транспортного средства  Фиат Дукато                 (1 единица)</t>
  </si>
  <si>
    <t>Марка транспортного средства  Тойота "Ленд Крузер" (1 единица)</t>
  </si>
  <si>
    <t>Марка транспортного средства  ГАЗ (3 единицы)</t>
  </si>
  <si>
    <t>Марка транспортного средства  ГАЗ (1 единицы)</t>
  </si>
  <si>
    <t>1.6</t>
  </si>
  <si>
    <t>1.7</t>
  </si>
  <si>
    <t>1.8</t>
  </si>
  <si>
    <t>Марка транспортного средства  УАЗ (4 единицы)</t>
  </si>
  <si>
    <t>Марка транспортного средства  УАЗ (12 единиц)</t>
  </si>
  <si>
    <t>Транспортный налог всего:</t>
  </si>
  <si>
    <t>Налог на имущество всего:</t>
  </si>
  <si>
    <t>3.1</t>
  </si>
  <si>
    <t>3.2</t>
  </si>
  <si>
    <t>по ставке 0,1%</t>
  </si>
  <si>
    <t>по ставке 2,2%</t>
  </si>
  <si>
    <t>обязательное социальное страхование от несчастных случаев на производстве и профессиональных заболеваний по ставке 0,25%</t>
  </si>
  <si>
    <t>Утилизация отходов класса "Г", "Б"</t>
  </si>
  <si>
    <t>4</t>
  </si>
  <si>
    <t>5</t>
  </si>
  <si>
    <t xml:space="preserve">Плата за негативное воздействие на окружающую среду </t>
  </si>
  <si>
    <t>Налоговая база (мощность автомобиля; рублей; тонн в год)</t>
  </si>
  <si>
    <t xml:space="preserve">Госпошлина за регистрацию (постановку на учет) автомобиля </t>
  </si>
  <si>
    <t>6. Расчет (обоснование) расходов на закупку товаров, работ, услуг</t>
  </si>
  <si>
    <t>6.1. Расчет (обоснование) расходов на оплату услуг связи</t>
  </si>
  <si>
    <t>количество номеров</t>
  </si>
  <si>
    <t>количество платежей в год</t>
  </si>
  <si>
    <t>Стоимость за единицу, руб</t>
  </si>
  <si>
    <t>Сумма, руб. (гр.3 х гр.4 х гр.5)</t>
  </si>
  <si>
    <t>6.3. Расчет (обоснование) расходов на оплату коммунальных услуг</t>
  </si>
  <si>
    <t>Наименование показятеля</t>
  </si>
  <si>
    <t>Размер потребления ресурсов</t>
  </si>
  <si>
    <t>Индексация, %</t>
  </si>
  <si>
    <t>Численность работников, получающих пособие</t>
  </si>
  <si>
    <t>Количество выплат в год на одного работника</t>
  </si>
  <si>
    <t>Размер выплаты (пособия) в месяц, руб</t>
  </si>
  <si>
    <t>Пособие по уходу за ребенком до 1.5 лет</t>
  </si>
  <si>
    <t>Пособие по уходу за ребенком до 3 лет</t>
  </si>
  <si>
    <t>Страховые взносы в Федеральный фонд обязательного медицинского страхования, всего (по ставке 5,1%)</t>
  </si>
  <si>
    <t>1.2 Расчеты (обоснования) выплат персоналу при направлении в служебные командировки</t>
  </si>
  <si>
    <t>Средний размер выплаты на одного работника в день, руб.</t>
  </si>
  <si>
    <t>Количество работников, чел.</t>
  </si>
  <si>
    <t>Количество дней</t>
  </si>
  <si>
    <t xml:space="preserve">Расходы по проезду </t>
  </si>
  <si>
    <t>Расходы на проживание</t>
  </si>
  <si>
    <t xml:space="preserve">Суточные </t>
  </si>
  <si>
    <t>1. Расчеты (обоснования) выплат персоналу (строка 210)</t>
  </si>
  <si>
    <t>1.1. Расчеты (обоснования) расходов на оплату труда</t>
  </si>
  <si>
    <t>Должность, группа должностей</t>
  </si>
  <si>
    <t>Установленная численность, единиц</t>
  </si>
  <si>
    <t>Среднемесячный размер оплаты труда на одного работника, руб.</t>
  </si>
  <si>
    <t>Районный коэффициент</t>
  </si>
  <si>
    <t>всего</t>
  </si>
  <si>
    <t>в том числе:</t>
  </si>
  <si>
    <t>по должностному окладу</t>
  </si>
  <si>
    <t>по выплатам компенсационного характера</t>
  </si>
  <si>
    <t>по выплатам стимулирующего характера</t>
  </si>
  <si>
    <t>ежемесячная надбавка к должностному окладу, %</t>
  </si>
  <si>
    <t>Фонд оплаты труда в год, руб. (гр.3 х гр.4 х (1+гр.8/100)х гр.9 х 12)</t>
  </si>
  <si>
    <t>Итого</t>
  </si>
  <si>
    <t>Абонентская плата</t>
  </si>
  <si>
    <t>12</t>
  </si>
  <si>
    <t xml:space="preserve">Предоставление внутризоновых соединений </t>
  </si>
  <si>
    <t>Абонентская плата за порт DSL</t>
  </si>
  <si>
    <t>6</t>
  </si>
  <si>
    <t>-</t>
  </si>
  <si>
    <t>Предоставление местного телеф.соединения (безлимитный)</t>
  </si>
  <si>
    <t>1</t>
  </si>
  <si>
    <t>Услуги спец.связи</t>
  </si>
  <si>
    <t>Почтовые расходы, подписка журналы, газета</t>
  </si>
  <si>
    <t>Электроснабжение (тыс.квт/час)</t>
  </si>
  <si>
    <t>Водоотведение (м3)</t>
  </si>
  <si>
    <t>Водоснабжение (м3)</t>
  </si>
  <si>
    <t>Теплоснабжение (Гкалорий):</t>
  </si>
  <si>
    <t>МУП "Теплоэнерго Черниговское"</t>
  </si>
  <si>
    <t>Тариф                 (с учетом НДС), руб</t>
  </si>
  <si>
    <t>КГУП "Примтеплоэнерго"</t>
  </si>
  <si>
    <t xml:space="preserve">1.3 Расчеты (обоснования) выплат персоналу по уходу за ребенком
</t>
  </si>
  <si>
    <t>Текущий ремонт зданий:</t>
  </si>
  <si>
    <t>Дневной стационар при поликлинике с.Черниговка</t>
  </si>
  <si>
    <t>Поликлиника с.Черниговка</t>
  </si>
  <si>
    <t>7.1</t>
  </si>
  <si>
    <t>7.2</t>
  </si>
  <si>
    <t>7.3</t>
  </si>
  <si>
    <t>7.4</t>
  </si>
  <si>
    <t>7.5</t>
  </si>
  <si>
    <t>7.6</t>
  </si>
  <si>
    <t>Отделение СМП с.Черниговка</t>
  </si>
  <si>
    <t>ЦСО с.Черниговка</t>
  </si>
  <si>
    <t>7.7</t>
  </si>
  <si>
    <t>Кабинет физио процедур</t>
  </si>
  <si>
    <t>7.8</t>
  </si>
  <si>
    <t>Терапевтическое отделение круглосуточного стационара ЦРБ</t>
  </si>
  <si>
    <t>Педиатрическое отделение стационара ЦРБ</t>
  </si>
  <si>
    <t>Отделение реанимации и интенсивной терапии ЦРБ</t>
  </si>
  <si>
    <t>7.9</t>
  </si>
  <si>
    <t>Хирургическое отделение круглосуточного стационара ЦРБ, операционный блок</t>
  </si>
  <si>
    <t>7.10</t>
  </si>
  <si>
    <t>7.11</t>
  </si>
  <si>
    <t>Акушерско-гинекологическое отделение ЦРБ</t>
  </si>
  <si>
    <t>ФАП с.Дмитриевка</t>
  </si>
  <si>
    <t>7.12</t>
  </si>
  <si>
    <t>Амбулатория п.Реттиховка</t>
  </si>
  <si>
    <t>7.13</t>
  </si>
  <si>
    <t>Поликлиника № 1 п.Сибирцево</t>
  </si>
  <si>
    <t>7.14</t>
  </si>
  <si>
    <t>Отделение СМП п.Сибирцево</t>
  </si>
  <si>
    <t>7.15</t>
  </si>
  <si>
    <t>Пищеблок ЦРБ</t>
  </si>
  <si>
    <t>Информационно технологическое сопровождение программ:</t>
  </si>
  <si>
    <t>ПК МИАЦ</t>
  </si>
  <si>
    <t>БЭСТ-ДВ</t>
  </si>
  <si>
    <t>1 С бухгалтерия</t>
  </si>
  <si>
    <t>ДОКА+</t>
  </si>
  <si>
    <t>ИСТОК СМП</t>
  </si>
  <si>
    <t>2.6</t>
  </si>
  <si>
    <t>ГЛОНАСС</t>
  </si>
  <si>
    <t>2.7</t>
  </si>
  <si>
    <t>ИТС 1 С</t>
  </si>
  <si>
    <t>2.8</t>
  </si>
  <si>
    <t>Антивирус</t>
  </si>
  <si>
    <t>8</t>
  </si>
  <si>
    <t>Дератизация помещений</t>
  </si>
  <si>
    <t>9</t>
  </si>
  <si>
    <t>Вывоз ТБО</t>
  </si>
  <si>
    <t>Охрана объектов, тревожная сигнализация</t>
  </si>
  <si>
    <t xml:space="preserve">Обязательное страхование гражданской ответственности владельцев автотранспортных средств </t>
  </si>
  <si>
    <t>Приобретение бланочной продукции</t>
  </si>
  <si>
    <t>Санитарно-гигиенические исседования</t>
  </si>
  <si>
    <t>10</t>
  </si>
  <si>
    <t xml:space="preserve">Техническое обслуживание системы пожарной сигнализации </t>
  </si>
  <si>
    <t>11</t>
  </si>
  <si>
    <t>Техническое обслуживание лифтов</t>
  </si>
  <si>
    <t>Техническое обслуживание оборудования</t>
  </si>
  <si>
    <t>Черниговская ЦРБ</t>
  </si>
  <si>
    <t>ОМС</t>
  </si>
  <si>
    <t>Врачебный персонал</t>
  </si>
  <si>
    <t>Средний медперсонал</t>
  </si>
  <si>
    <t>итого</t>
  </si>
  <si>
    <t>Младший медперсонал</t>
  </si>
  <si>
    <t>Прочий персонал</t>
  </si>
  <si>
    <t>с коэф</t>
  </si>
  <si>
    <t>55</t>
  </si>
  <si>
    <t>Код строки</t>
  </si>
  <si>
    <t>Код бюджетной классификации Российской Федерации</t>
  </si>
  <si>
    <t>Объем финансового обеспечения, руб. (с точностью до двух знаков после запятой - 0,00)</t>
  </si>
  <si>
    <t>в том числе</t>
  </si>
  <si>
    <t xml:space="preserve">субсидии на финансовое обеспечение выполнения государ-
ственного задания из федерально-го бюджета, бюджета субъекта Российской Федерации (местного бюджета
</t>
  </si>
  <si>
    <t>субсидии, предоставляемые в соответствии с абзацем вторым пункта 1 статьи 78.1 Бюджетного кодекса Российской Федерации</t>
  </si>
  <si>
    <t>средства обяза-тельного меди-цинско-го страхо-вания</t>
  </si>
  <si>
    <t>поступления от оказания услуг (выполнения работ) на платной основе и от иной приносящей доход деятельности</t>
  </si>
  <si>
    <t>из них гранты</t>
  </si>
  <si>
    <t>5.1</t>
  </si>
  <si>
    <t>Поступления от доходов всего:</t>
  </si>
  <si>
    <t>в том числе: доходы от собственности</t>
  </si>
  <si>
    <t>из них:                                       от аренды активов</t>
  </si>
  <si>
    <t>иные поступления от собственности</t>
  </si>
  <si>
    <t>доходы от оказания работ, услуг</t>
  </si>
  <si>
    <t>доходы от штрафов, пеней, иных сумм принудительного изъятия</t>
  </si>
  <si>
    <t>безвозмездные поступления от наднациональных организаций, правительств иностранных государств, международных финансовых организаций</t>
  </si>
  <si>
    <t>иные субсидии, предоставленные из бюджета</t>
  </si>
  <si>
    <t xml:space="preserve">прочие доходы </t>
  </si>
  <si>
    <t>Выплаты по расходам, всего:</t>
  </si>
  <si>
    <t>в том числе на: выплаты персоналу всего:</t>
  </si>
  <si>
    <t xml:space="preserve">из них:
оплата труда и начисления на выплаты по оплате труда
</t>
  </si>
  <si>
    <t>социальные и иные выплаты населению, всего</t>
  </si>
  <si>
    <t>из них:</t>
  </si>
  <si>
    <t>уплату налогов, сборов и иных платежей, всего</t>
  </si>
  <si>
    <t>прочие расходы (кроме расходов на закупку товаров, работ, услуг)</t>
  </si>
  <si>
    <t>расходы на закупку товаров, работ, услуг, всего</t>
  </si>
  <si>
    <t>Поступление финансовых активов, всего:</t>
  </si>
  <si>
    <t xml:space="preserve">из них:
увеличение остатков средств
</t>
  </si>
  <si>
    <t>прочие поступления</t>
  </si>
  <si>
    <t>Выбытие финансовых активов, всего</t>
  </si>
  <si>
    <t xml:space="preserve">из них:
уменьшение остатков средств
</t>
  </si>
  <si>
    <t>прочие выбытия</t>
  </si>
  <si>
    <t>Остаток средств на начало года</t>
  </si>
  <si>
    <t>Остаток средств на конец года</t>
  </si>
  <si>
    <t>Год начала закупки</t>
  </si>
  <si>
    <t>Сумма выплат по расходам на закупку товаров, работ и услуг, руб. (с точностью до двух знаков после запятой - 0,00)</t>
  </si>
  <si>
    <t>всего на закупки</t>
  </si>
  <si>
    <t>Выплаты по расходам на закупку товаров, работ, услуг всего:</t>
  </si>
  <si>
    <t>0001</t>
  </si>
  <si>
    <t>в том числе: на оплату контрактов заключенных до начала очередного финансового года:</t>
  </si>
  <si>
    <t>1001</t>
  </si>
  <si>
    <t>на закупку товаров работ, услуг по году начала закупки</t>
  </si>
  <si>
    <t>2001</t>
  </si>
  <si>
    <t>(очередной финансовый год)</t>
  </si>
  <si>
    <t>Сумма (руб., с точностью до двух знаков после запятой - 0,00)</t>
  </si>
  <si>
    <t>Поступление</t>
  </si>
  <si>
    <t>Выбытие</t>
  </si>
  <si>
    <t>010</t>
  </si>
  <si>
    <t>020</t>
  </si>
  <si>
    <t>030</t>
  </si>
  <si>
    <t>040</t>
  </si>
  <si>
    <t>тел.  8-42-351-23-6-02</t>
  </si>
  <si>
    <t xml:space="preserve">(уполномоченное лицо)                                                     </t>
  </si>
  <si>
    <t xml:space="preserve">Руководитель </t>
  </si>
  <si>
    <t>краевого государственного бюджетного учреждения</t>
  </si>
  <si>
    <t>(подпись, расшифровка подписи)</t>
  </si>
  <si>
    <t>Руководитель финансово-экономической службы</t>
  </si>
  <si>
    <t>______________ А.А. Скрыпник</t>
  </si>
  <si>
    <t xml:space="preserve">           (уполномоченное лицо)</t>
  </si>
  <si>
    <t xml:space="preserve">                                                                                                                                                                                                     (подпись) (расшифровка подписи)</t>
  </si>
  <si>
    <t>Краевое государственное бюджетное учреждение здравоохранения "Черниговская центральная районная больница"</t>
  </si>
  <si>
    <t xml:space="preserve">наименование учреждения </t>
  </si>
  <si>
    <t xml:space="preserve">руб. </t>
  </si>
  <si>
    <t xml:space="preserve">Наименование показателя </t>
  </si>
  <si>
    <t xml:space="preserve">КОСГУ </t>
  </si>
  <si>
    <t xml:space="preserve">Всего  </t>
  </si>
  <si>
    <t xml:space="preserve">Средства бюджета </t>
  </si>
  <si>
    <t xml:space="preserve">Средства от  приносящей доход деятельности </t>
  </si>
  <si>
    <t>Субсидии на выполнение гос. задания</t>
  </si>
  <si>
    <t xml:space="preserve">Субсидии на иные цели </t>
  </si>
  <si>
    <t>Бюджетные инвестиции</t>
  </si>
  <si>
    <t>приоритетный нац.проект    "Здоровье"</t>
  </si>
  <si>
    <t xml:space="preserve">доходы от реализации ценных бумаг </t>
  </si>
  <si>
    <t xml:space="preserve">доходы от сдачи имущества  в аренду </t>
  </si>
  <si>
    <t xml:space="preserve">доходы от оказания платных услуг </t>
  </si>
  <si>
    <t xml:space="preserve"> доходы от продажи товаров </t>
  </si>
  <si>
    <t xml:space="preserve"> гранты, добровольные пожертвования</t>
  </si>
  <si>
    <t xml:space="preserve">средства ТФОМС  на осуществление внедрения стандартов  повышения доступности  амбулаторной помощи </t>
  </si>
  <si>
    <t xml:space="preserve">поступление в системе ОМС  за оказание услуг застрахованным лицам </t>
  </si>
  <si>
    <t>родовые сертификаты</t>
  </si>
  <si>
    <t xml:space="preserve">доходы  от возмещения ущерба при возникновении страховых случаев </t>
  </si>
  <si>
    <t xml:space="preserve">прочие безвозмездные поступления (коммунальные услуги) </t>
  </si>
  <si>
    <t>гр.1</t>
  </si>
  <si>
    <t>гр.2</t>
  </si>
  <si>
    <t>гр.3= гр. 4 + гр. 8</t>
  </si>
  <si>
    <t>гр.4</t>
  </si>
  <si>
    <t>гр.5</t>
  </si>
  <si>
    <t>гр.6</t>
  </si>
  <si>
    <t>гр.7</t>
  </si>
  <si>
    <t>гр.8</t>
  </si>
  <si>
    <t>гр.9</t>
  </si>
  <si>
    <t>гр.10</t>
  </si>
  <si>
    <t>гр.11</t>
  </si>
  <si>
    <t>гр.12</t>
  </si>
  <si>
    <t>гр.13</t>
  </si>
  <si>
    <t>гр.14</t>
  </si>
  <si>
    <t>гр.15</t>
  </si>
  <si>
    <t>гр.16</t>
  </si>
  <si>
    <t>гр.17</t>
  </si>
  <si>
    <t>гр.18</t>
  </si>
  <si>
    <t>гр.19</t>
  </si>
  <si>
    <t>гр.20</t>
  </si>
  <si>
    <t xml:space="preserve">Планируемый остаток средств на начало года </t>
  </si>
  <si>
    <t>X</t>
  </si>
  <si>
    <t xml:space="preserve">Поступления, всего: </t>
  </si>
  <si>
    <t xml:space="preserve">Планируемый остаток средств на конец года </t>
  </si>
  <si>
    <t xml:space="preserve">Выплаты, всего: </t>
  </si>
  <si>
    <t xml:space="preserve">в том числе: </t>
  </si>
  <si>
    <t xml:space="preserve">Заработная плата </t>
  </si>
  <si>
    <t xml:space="preserve">Прочие выплаты </t>
  </si>
  <si>
    <t>Начисления на выплаты по оплате труда</t>
  </si>
  <si>
    <t xml:space="preserve">                                   </t>
  </si>
  <si>
    <t xml:space="preserve">Услуги связи </t>
  </si>
  <si>
    <t xml:space="preserve">Транспортные услуги </t>
  </si>
  <si>
    <t xml:space="preserve">Коммунальные услуги </t>
  </si>
  <si>
    <t xml:space="preserve"> </t>
  </si>
  <si>
    <t xml:space="preserve">Арендная плата за  пользование имуществом </t>
  </si>
  <si>
    <t xml:space="preserve">Работы, услуги по  содержанию имущества </t>
  </si>
  <si>
    <t>Прочие работы, услуги</t>
  </si>
  <si>
    <t xml:space="preserve">Безвозмездные  перечисления государственным и муниципальным  организациям </t>
  </si>
  <si>
    <t xml:space="preserve">Пособия по социальной помощи населению </t>
  </si>
  <si>
    <t xml:space="preserve">Пенсии, пособия, выплачиваемые  государственными учреждениями </t>
  </si>
  <si>
    <t xml:space="preserve">Прочие расходы </t>
  </si>
  <si>
    <t xml:space="preserve">Увеличение стоимости основных средств </t>
  </si>
  <si>
    <t xml:space="preserve">Увеличение стоимости нематериальных  активов </t>
  </si>
  <si>
    <t xml:space="preserve">Увеличение стоимости непроизводственных активов </t>
  </si>
  <si>
    <t xml:space="preserve">Увеличение стоимости материальных запасов </t>
  </si>
  <si>
    <t>Увеличение стоимости ценных бумаг, кроме акций и иных форм участия в капитале</t>
  </si>
  <si>
    <t>Увеличение стоимости акций и иных форм  участия в капитале</t>
  </si>
  <si>
    <t>____________</t>
  </si>
  <si>
    <t xml:space="preserve">подпись </t>
  </si>
  <si>
    <t>ФИО</t>
  </si>
  <si>
    <t xml:space="preserve">Исполнитель </t>
  </si>
  <si>
    <t>Скрыпник А.А.</t>
  </si>
  <si>
    <t>8-42-351-23-6-02</t>
  </si>
  <si>
    <t xml:space="preserve">Детализированные показатели по поступлениям и выплатам </t>
  </si>
  <si>
    <t>Приложение №1</t>
  </si>
  <si>
    <t>ПЕРЕЧЕНЬ МЕДИЦИНСКИХ УСЛУГ</t>
  </si>
  <si>
    <t xml:space="preserve"> ОКАЗЫВАЕМЫЕ КРАЕВЫМ ГОСУДАРСТВЕННЫМ УЧРЕЖДЕНИЕМ ЗДРАВООХРАНЕНИЯ "ЧЕРНИГОВСКАЯ ЦЕНТРАЛЬНАЯ РАЙОННАЯ БОЛЬНИЦА"</t>
  </si>
  <si>
    <t>Прием (осмотр,консультация) врача-терапевта участкового первичный</t>
  </si>
  <si>
    <t>Прием (осмотр,консультация) врача-терапевта участкового повторный</t>
  </si>
  <si>
    <t>Прием (осмотр,консультация) врача-терапевта участкового профилактический</t>
  </si>
  <si>
    <t>Прием (осмотр,консультация) врача-терапевта участкового на дому</t>
  </si>
  <si>
    <t>Прием (осмотр,консультация) врача -хирурга первичный</t>
  </si>
  <si>
    <t>Прием (осмотр,консультация) врача -хирурга повторный</t>
  </si>
  <si>
    <t>Прием (осмотр,консультация) врача -хирурга профилактический</t>
  </si>
  <si>
    <t>Прием (осмотр,консультация) врача -хирурга на дому</t>
  </si>
  <si>
    <t>Прием (осмотр,консультация) врача -травматолога-ортопеда первичный</t>
  </si>
  <si>
    <t>Прием (осмотр,консультация) врача -травматолога-ортопеда повторный</t>
  </si>
  <si>
    <t>Биомикроскопия глаза</t>
  </si>
  <si>
    <t>Периметрия на цвета</t>
  </si>
  <si>
    <t>Подбор очков для больных с астигматизмом</t>
  </si>
  <si>
    <t xml:space="preserve">Подбор очков </t>
  </si>
  <si>
    <t>Тонометрия</t>
  </si>
  <si>
    <t>Тонография</t>
  </si>
  <si>
    <t>Промывание слезных путей</t>
  </si>
  <si>
    <t>Определение цветоощущения</t>
  </si>
  <si>
    <t>Определение внутриглазного давления</t>
  </si>
  <si>
    <t>Прием (осмотр, консультация) врача-оториноларинголога первичный</t>
  </si>
  <si>
    <t>Прием (осмотр, консультация) врача-оториноларинголога повторный</t>
  </si>
  <si>
    <t>Консультация врача-оториноларинголога на дому</t>
  </si>
  <si>
    <t>Профилактический осмотр врача-оториноларинголога</t>
  </si>
  <si>
    <t>Промывание серных пробок</t>
  </si>
  <si>
    <t>Промывание барабанной полости</t>
  </si>
  <si>
    <t>Продувание слуховых труб</t>
  </si>
  <si>
    <t>Введение лекарственных препаратов в наружный слуховой проход</t>
  </si>
  <si>
    <t>Вестибулометрия</t>
  </si>
  <si>
    <t>Прием (осмотр,консультация) врача невролога первичный</t>
  </si>
  <si>
    <t>Прием (осмотр,консультация) врача невролога повторный</t>
  </si>
  <si>
    <t>Прием (осмотр,консультация) врача невролога профилактический</t>
  </si>
  <si>
    <t>Прием (осмотр,консультация) врача невролога на дому</t>
  </si>
  <si>
    <t>Прием (осмотр,консультация) врача дерматовенеролога первичный</t>
  </si>
  <si>
    <t>Прием (осмотр,консультация) врача дерматовенеролога повторный</t>
  </si>
  <si>
    <t>Прием (осмотр,консультация) врача дерматовенеролога профилактический</t>
  </si>
  <si>
    <t>Анонимное исследование на гонококк</t>
  </si>
  <si>
    <t>Прием (осмотр,консультация) врача инфекциониста первичный</t>
  </si>
  <si>
    <t>Прием (осмотр,консультация) врача инфекциониста повторный</t>
  </si>
  <si>
    <t>Прием (осмотр,консультация) врача инфекциониста профилактический</t>
  </si>
  <si>
    <t>Прием (осмотр,консультация) врача эндокринолога первичный</t>
  </si>
  <si>
    <t>Прием (осмотр,консультация) врача эндокринолога повторный</t>
  </si>
  <si>
    <t>Прием (осмотр,консультация) врача эндокринолога профилактический</t>
  </si>
  <si>
    <t>Прием (осмотр,консультация)врача онколога первичный</t>
  </si>
  <si>
    <t>Прием (осмотр,консультация)врача онколога повторный</t>
  </si>
  <si>
    <t>Прием (осмотр,консультация)врача онколога профилактический</t>
  </si>
  <si>
    <t>Прием (осмотр,консультация)врача онколога на дому</t>
  </si>
  <si>
    <t>Прием (осмотр,консультация) врача - психиатра-нарколога первичный</t>
  </si>
  <si>
    <t>Прием (осмотр,консультация) врача - психиатра-нарколога повторный</t>
  </si>
  <si>
    <t>Прием (осмотр,консультация) врача - психиатра-нарколога профилактический</t>
  </si>
  <si>
    <t>Прием (осмотр,консультация) врача - психиатра профилактический</t>
  </si>
  <si>
    <t>Предрейсовое (послерейсовое)  медицинское освидетельствование водителей</t>
  </si>
  <si>
    <t>Медицинское освидетельствование на наличие наркотического опьянения</t>
  </si>
  <si>
    <t>Медицинское освидетельствование на наличие алкогольного опьянения</t>
  </si>
  <si>
    <t>Измерение артериального давления</t>
  </si>
  <si>
    <t>Услуги фельдшера кабинета медицинских осмотров ( оформление документации на платные медицинские осмотры, заключение договоров с организациями)</t>
  </si>
  <si>
    <t>Массаж головы (лобно-височной и затылочно-теменной области)</t>
  </si>
  <si>
    <t>Массаж мыщц лица (лобной, окологлазничной, верхней и нижне-челюстной области)</t>
  </si>
  <si>
    <t>Массаж мыщц шеи</t>
  </si>
  <si>
    <t>Массаж воротниковой зоны (задней поверхности шеи, спины до уровня VI грудного позвонка, передней поверхности грудной клетки до II ребра)</t>
  </si>
  <si>
    <t>Массаж верхней конечности</t>
  </si>
  <si>
    <t>Массаж верхней конечности, надплечья и области лопатки</t>
  </si>
  <si>
    <t>Массаж плечевого сустава (верхней трети плеча, области плечевого сустава и надплечья одноименной стороны)</t>
  </si>
  <si>
    <t>Массаж локтевого сустава (верхней трети предплечья, области локтевого сустава и нижней трети плеча)</t>
  </si>
  <si>
    <t>Массаж лучезапястного сустава (промаксимального отдела кисти, области лучезапястного сустава и предплечья)</t>
  </si>
  <si>
    <t>Массаж кисти и предплечья</t>
  </si>
  <si>
    <t>Массаж области грудной клетки (области передней поверхности грудной клетки от передней границы надплечий до реберных дуг и области спины от VII шейного до I поясничного позвонка)</t>
  </si>
  <si>
    <t>Массаж спины (от VII шейного до I поясничного позвонка и от левой до правой средней аксиллярной линии; у детей - включая пояснично-крестцовую область)</t>
  </si>
  <si>
    <t xml:space="preserve">Массаж мышц передней брюшной стенки </t>
  </si>
  <si>
    <t>Массаж пояснично-крестцовой области (области спины от  I поясничного позвонка до нижних ягодичных складок)</t>
  </si>
  <si>
    <t>Сегментарный массаж пояснично-крестцовой области</t>
  </si>
  <si>
    <t>Массаж спины и поясницы (от VII шейного позвонка до крестца и от левой до правой средней аксиллярной линии)</t>
  </si>
  <si>
    <t>Массаж шейно-грудного отдела позвоночника (области задней поверхности шеи и области спины до 1 поясничного позвонка от левой до правой задней аксиллярной линии)</t>
  </si>
  <si>
    <t>Сегментарный массаж шейно-грудного отдела позвоночника</t>
  </si>
  <si>
    <t>Массаж области позвоночника (области задней поверхности шеи, спины, пояснично-крестцовой области от левой до правой задней аксиллярной линии)</t>
  </si>
  <si>
    <t>Массаж нижней конечности</t>
  </si>
  <si>
    <t>Массаж нижней конечности и поясницы (области стопы, голени, бедра, ягодичной и пояснично-крестцовой области или всех суставов конечности)</t>
  </si>
  <si>
    <t>Массаж тазобедренного сустава (верхней трети бедра, области тазобедренного сустава и ягодичной области одноименной стороны)</t>
  </si>
  <si>
    <t>Массаж коленного сустава (верхней трети голени; области коленного сустава и нижней трети бедра)</t>
  </si>
  <si>
    <t>Массаж голеностопного сустава (проксимального отдела стопы, области голеностопного сустава и нижней трети голени)</t>
  </si>
  <si>
    <t>Массаж стопы и голени</t>
  </si>
  <si>
    <t>Общий массаж у детей грудного и младшего дошкольного возраста</t>
  </si>
  <si>
    <t>Прием (осмотр,консультация) врача педиатра участкового первичный</t>
  </si>
  <si>
    <t>Прием (осмотр,консультация) врача педиатра участкового повторный</t>
  </si>
  <si>
    <t>Прием (осмотр,консультация) врача педиатра участкового на дому</t>
  </si>
  <si>
    <t>Консультативный прием врача акушера-гинеколога (первичный)</t>
  </si>
  <si>
    <t>Консультативный прием врача акушера -гинеколога (повторный)</t>
  </si>
  <si>
    <t>Консультативный прием врача акушера -гинеколога профилактический</t>
  </si>
  <si>
    <t>Забор биологического материала на исследование</t>
  </si>
  <si>
    <t>Кольпоскопия</t>
  </si>
  <si>
    <t>Деструктивные методы лечения доброкачественных заболеываний шейки матки , влагалища и НПО</t>
  </si>
  <si>
    <t>Биопсия эндометрия</t>
  </si>
  <si>
    <t>Введение внутриматочной спирали</t>
  </si>
  <si>
    <t>Удаление внутриматочной спирали</t>
  </si>
  <si>
    <t>Мини-аборт методом вакуум-аспирации</t>
  </si>
  <si>
    <t>Медикаментозное прерывание беременности в зависимости от стоимости препарата</t>
  </si>
  <si>
    <t>Биопсия шейки матки</t>
  </si>
  <si>
    <t>Введение акушерского пессария разгружающего (без стоимости материала)</t>
  </si>
  <si>
    <t>Введение гинекологического пессария (без стоимости материала)</t>
  </si>
  <si>
    <t xml:space="preserve">Раздельное диагностическое выскабливание цервикального канала. полости матки </t>
  </si>
  <si>
    <t>Удаление кондилом</t>
  </si>
  <si>
    <t>Роды (при отсутствии полиса ОМС)</t>
  </si>
  <si>
    <t>Смотровой кабинет</t>
  </si>
  <si>
    <t>Наложение пломбы при среднем кариесе</t>
  </si>
  <si>
    <t>Наложение пломбы при глубоком кариесе</t>
  </si>
  <si>
    <t>Лечение пульпита однокорневого зуба</t>
  </si>
  <si>
    <t>Лечение пульпита двухкорневого зуба</t>
  </si>
  <si>
    <t>Лечение пульпита трехкорневого зуба</t>
  </si>
  <si>
    <t>Лечение периодонтита однокорневого зуба</t>
  </si>
  <si>
    <t>Лечение периодонтита двухкорневого зуба</t>
  </si>
  <si>
    <t>Лечение периодонтита трехкорневого зуба</t>
  </si>
  <si>
    <t>Распломбирование корневого канала</t>
  </si>
  <si>
    <t>Восстановление разрушенной коронки с помощью проволочного каркаса, фиксированного в парапульпарных каналах, пластмассы или композитных материалов</t>
  </si>
  <si>
    <t>Снятие пломбы</t>
  </si>
  <si>
    <t>Удаление зубного камня</t>
  </si>
  <si>
    <t>Покрытие зуба фиссур герметиком</t>
  </si>
  <si>
    <t>Резекция верхушки корня зуба</t>
  </si>
  <si>
    <t>Вылущивание ретенционной кисты</t>
  </si>
  <si>
    <t xml:space="preserve">Осмотр, консультация врача  стоматолога </t>
  </si>
  <si>
    <t>Удаление зуба  сложное</t>
  </si>
  <si>
    <t>Удаление зуба  простое</t>
  </si>
  <si>
    <t>Шинирование при переломах челюстей</t>
  </si>
  <si>
    <t>Фторпрофилактика, покрытие серебром (1 сеанс)</t>
  </si>
  <si>
    <t>Постановка пломбы из светоотверждающих материалов</t>
  </si>
  <si>
    <t>Постановка пломбы из композитов химического отверждения:</t>
  </si>
  <si>
    <t>Реставрация зуба светоотверждающим материалом</t>
  </si>
  <si>
    <t>Коронка стальная</t>
  </si>
  <si>
    <t>Коронка с пластмассовой облицовкой</t>
  </si>
  <si>
    <t>Коронка восстановительная</t>
  </si>
  <si>
    <t>Зуб штифтовый пластмассовый</t>
  </si>
  <si>
    <t>Фасетка стальная</t>
  </si>
  <si>
    <t>Базис частичный</t>
  </si>
  <si>
    <t>Базис полный</t>
  </si>
  <si>
    <t>Ложка индивидуальная</t>
  </si>
  <si>
    <t>Пайка</t>
  </si>
  <si>
    <t>Зуб литой</t>
  </si>
  <si>
    <t>Зуб литой с опылением</t>
  </si>
  <si>
    <t>Зуб штифтовый с облицовкой</t>
  </si>
  <si>
    <t>Снятие коронки</t>
  </si>
  <si>
    <t>Цементирование коронки</t>
  </si>
  <si>
    <t>Осмотр, консультация</t>
  </si>
  <si>
    <t>Оформление</t>
  </si>
  <si>
    <t>Декорирование зубного протеза (1 ед.) расценка может изменяться в зависимости от изменения цен завода изготовителя</t>
  </si>
  <si>
    <t>Двухслойный корректирующий слепок</t>
  </si>
  <si>
    <t>Ретракционная нить</t>
  </si>
  <si>
    <t>Вкладка цельнолитая</t>
  </si>
  <si>
    <t>Штифтовый зуб цельнолитой</t>
  </si>
  <si>
    <t>Экваторная коронка</t>
  </si>
  <si>
    <t>Цельнолитая коронка</t>
  </si>
  <si>
    <t>Бюгельная коронка</t>
  </si>
  <si>
    <t>Восстановительная штампованная коронка</t>
  </si>
  <si>
    <t>Восстановительная цельнолитая коронка</t>
  </si>
  <si>
    <t>Бюгельный дуговой протез</t>
  </si>
  <si>
    <t>Пластмассовый штифтовый зуб с надкорневой защиткой</t>
  </si>
  <si>
    <t>Цельнолитой комбинированный штифтовый зуб с надкорневой защиткой</t>
  </si>
  <si>
    <t>Протез-шина</t>
  </si>
  <si>
    <t>Накусочная пластинка</t>
  </si>
  <si>
    <t>Малый седловидный протез</t>
  </si>
  <si>
    <t>Комплексное Ультразвуковое исследование печени, желчного пузыря, поджелудочной железы, селезенки,почки</t>
  </si>
  <si>
    <t>Ультразвуковое исследование печени, желчного пузыря.</t>
  </si>
  <si>
    <t xml:space="preserve">Ультразвуковое исследование поджелудочной железы </t>
  </si>
  <si>
    <t>Ультразвуковое исследование мочевого пузыря</t>
  </si>
  <si>
    <t>Ультразвуковое исследование  надпочечников</t>
  </si>
  <si>
    <t>Ультразвуковое исследование глаза</t>
  </si>
  <si>
    <t xml:space="preserve">Ультразвуковое исследование мошонки </t>
  </si>
  <si>
    <t>Ультразвуковое исследование суставов</t>
  </si>
  <si>
    <t>Ультразвуковое исследование простаты</t>
  </si>
  <si>
    <t>Ультразвуковое исследование почек</t>
  </si>
  <si>
    <t>Ультразвуковое исследование почек, мочевыводящих путей и мочевого пузыря</t>
  </si>
  <si>
    <t>Ультразвуковое исследование предстательной железы, мочевого пузыря и остаточной мочи</t>
  </si>
  <si>
    <t>Ультразвуковое исследование селезенки</t>
  </si>
  <si>
    <t>Ультразвуковое исследование сердца</t>
  </si>
  <si>
    <t>Ультразвуковое исследование щитовидной железы</t>
  </si>
  <si>
    <t>Ультразвуковое исследование лимфатических узлов</t>
  </si>
  <si>
    <t>Ультразвуковое исследование плевральной полости</t>
  </si>
  <si>
    <t>Ультразвуковое исследование молочных желез</t>
  </si>
  <si>
    <t>Ультразвуковое исследование матки и придатков</t>
  </si>
  <si>
    <t>Ультразвуковое исследование матки и придатков (определение беременности)</t>
  </si>
  <si>
    <t>Ультразвуковое исследование матки (контроль установки ВМС)</t>
  </si>
  <si>
    <t>Ультразвуковое исследование матки после прерывания беременности</t>
  </si>
  <si>
    <t>Ультразвуковое исследование матки и придатков двумя датчиками</t>
  </si>
  <si>
    <t>Ультразвуковое исследование плода 1триместр</t>
  </si>
  <si>
    <t>Ультразвуковое исследование плода свыше 2 триместр</t>
  </si>
  <si>
    <t>Ультразвуковое исследование плода повторное</t>
  </si>
  <si>
    <t>Ультразвуковое исследование плода, определение пола плода</t>
  </si>
  <si>
    <t>Электрофорез</t>
  </si>
  <si>
    <t>Электростимуляция</t>
  </si>
  <si>
    <t>УВЧ-терапия</t>
  </si>
  <si>
    <t>Дарсонвализация</t>
  </si>
  <si>
    <t>Магнитотерапия</t>
  </si>
  <si>
    <t>Ультразвуковая терапия</t>
  </si>
  <si>
    <t>Уф-облучение</t>
  </si>
  <si>
    <t>Ингаляции различные</t>
  </si>
  <si>
    <t>Светолечение лазером</t>
  </si>
  <si>
    <t xml:space="preserve">Гистеросальпингография </t>
  </si>
  <si>
    <t>Обзорная рентгенография молочных желез (маммография)</t>
  </si>
  <si>
    <t>Рентгенография зуба</t>
  </si>
  <si>
    <t>Рентгенография суставов, в 1 проекции</t>
  </si>
  <si>
    <t>Рентгенография суставов, в 2 проекциях</t>
  </si>
  <si>
    <t>Рентгенография стопы в 1 проекции</t>
  </si>
  <si>
    <t>Рентгенография стопы в 2 проекциях</t>
  </si>
  <si>
    <t>Рентгенография кисти руки в 1 проекции</t>
  </si>
  <si>
    <t>Рентгенография кисти руки в 2 проекциях</t>
  </si>
  <si>
    <t>Рентгенография позвоночника в 1 проекции</t>
  </si>
  <si>
    <t>Рентгенография позвоночника в 2 проекциях</t>
  </si>
  <si>
    <t>Рентгенография крестца и копчика в 1 проекции</t>
  </si>
  <si>
    <t>Рентгенография крестца и копчика в 2 проекциях</t>
  </si>
  <si>
    <t>Рентгенография ребра(ер) в 1 проекции</t>
  </si>
  <si>
    <t>Рентгенография ребра(ер) в 2 проекциях</t>
  </si>
  <si>
    <t>Рентгенография грудины , в 1 проекциях</t>
  </si>
  <si>
    <t>Рентгенография грудины, в 2 проекциях</t>
  </si>
  <si>
    <t>Рентгенография черепа в двух проекциях</t>
  </si>
  <si>
    <t>Рентгенография придаточных пазух носа</t>
  </si>
  <si>
    <t>Обзорный снимок брюшной полости и органов малого таза</t>
  </si>
  <si>
    <t>Флюорография легких цифровая</t>
  </si>
  <si>
    <t>Ирригография</t>
  </si>
  <si>
    <t>Рентгенография глазницы</t>
  </si>
  <si>
    <t>Рентгеноскопия пищевода</t>
  </si>
  <si>
    <t>Рентгеноскопия желудка и 12-перстной кишки</t>
  </si>
  <si>
    <t>Внутривенная урография (без стоимости контраста)</t>
  </si>
  <si>
    <t>Цистография</t>
  </si>
  <si>
    <t>Описание и интерпретация рентгенографических изображений</t>
  </si>
  <si>
    <t>Осмотр (консультация) врачом-рентгенологом терапевтический</t>
  </si>
  <si>
    <t>Эзофагогастродуоденоскопия ( диагностика)</t>
  </si>
  <si>
    <t>Эзофагогастродуоденоскопия ( диагностика с биопсией)</t>
  </si>
  <si>
    <t>Эзофагогастродуоденоскопия (лечение)</t>
  </si>
  <si>
    <t>Бронхоскопия (диагностика)</t>
  </si>
  <si>
    <t>Бронхоскопия  (лечение)</t>
  </si>
  <si>
    <t>Толстокишечная эндоскопия (диагностика)</t>
  </si>
  <si>
    <t>Толстокишечная эндоскопия (диагностика с биопсией)</t>
  </si>
  <si>
    <t>Толстокишечная эндоскопия (лечение)</t>
  </si>
  <si>
    <t>Исследование материала желудка на наличие хеликобактерий</t>
  </si>
  <si>
    <t>Ректороманоскопия (диагностика)</t>
  </si>
  <si>
    <t>Ректороманоскопия (лечение)</t>
  </si>
  <si>
    <t>Эзофагоскопия (диагностика)</t>
  </si>
  <si>
    <t xml:space="preserve">Электрокардиография с физическими упражнениями </t>
  </si>
  <si>
    <t>Проведение электрокардиографических исследований в поликлинике</t>
  </si>
  <si>
    <t>Эхокардиография с допплеровским анализом</t>
  </si>
  <si>
    <t>Определение холестерина</t>
  </si>
  <si>
    <t>Определение железа</t>
  </si>
  <si>
    <t>Определение креатинина</t>
  </si>
  <si>
    <t>Определение мочевой кислоты</t>
  </si>
  <si>
    <t>Определение общего белка</t>
  </si>
  <si>
    <t>Определение мочевины</t>
  </si>
  <si>
    <t>Определение АлАТ</t>
  </si>
  <si>
    <t>Определение АсАТ</t>
  </si>
  <si>
    <t>Определение тимоловой пробы</t>
  </si>
  <si>
    <t>Определение амилазы</t>
  </si>
  <si>
    <t>Определение кальция</t>
  </si>
  <si>
    <t>Определение фосфора</t>
  </si>
  <si>
    <t>Определение хлоридов</t>
  </si>
  <si>
    <t>Определение калия</t>
  </si>
  <si>
    <t>Определение натрия</t>
  </si>
  <si>
    <t>Определение "С" - реактивного белка</t>
  </si>
  <si>
    <t>Определение альбумина</t>
  </si>
  <si>
    <t>Липидограмма (ЛПВП, ЛПНП, триглицериды, холестерин общий)</t>
  </si>
  <si>
    <t>Общий анализ мочи</t>
  </si>
  <si>
    <t>Анализ мочи по Нечипоренко</t>
  </si>
  <si>
    <t>Определение резус-фактора и группы крови</t>
  </si>
  <si>
    <t>Исследование кала на скрытую кровь</t>
  </si>
  <si>
    <t>Копрограмма</t>
  </si>
  <si>
    <t>Гинекологический мазок на микрофлору</t>
  </si>
  <si>
    <t>Определение МНО</t>
  </si>
  <si>
    <t>Определение фибриногена</t>
  </si>
  <si>
    <t>Определение титра антител</t>
  </si>
  <si>
    <t>Гистология</t>
  </si>
  <si>
    <t>Кольпоцитология</t>
  </si>
  <si>
    <t>Определение альбумина в моче</t>
  </si>
  <si>
    <t>Определение креатинкиназы</t>
  </si>
  <si>
    <t>Экспресс-анализ на содержание наркотиков</t>
  </si>
  <si>
    <t>Химико-токсикологические исследования (ХТИ)</t>
  </si>
  <si>
    <t>Бактериологическое исследование гнойного отделяемого на аэробные и факультативно-анаэробные микроорганизмы</t>
  </si>
  <si>
    <t>Бактериологическое исследование раневого отделяемого на аэробные и факультативно-анаэробные микроорганизмы</t>
  </si>
  <si>
    <t>Микологическое исследование раневого отделяемого на кандида (Candida spp.)</t>
  </si>
  <si>
    <t>Бактериологическое исследование крови на бруцеллы (Brucella spp.)</t>
  </si>
  <si>
    <t>Микробиологическое исследование крови на кандида (Candida spp.)</t>
  </si>
  <si>
    <t xml:space="preserve">Исследование микробиоценоза  кишечника  (дисбактериоз) </t>
  </si>
  <si>
    <t>Бактериологическое исследование материала из десневых карманов на неспорообразующие анаэробы</t>
  </si>
  <si>
    <t>Бактериологическое исследование отделяемого слизистой полости рта на неспорообразующие анаэробы</t>
  </si>
  <si>
    <t>Микологическое исследование на кандида (Candida spp.)</t>
  </si>
  <si>
    <t>Бактериологическое исследование слизи и пленок с миндалин на палочку дифтерии (Corinebacterium diphtheriae)</t>
  </si>
  <si>
    <t>Микроскопическое исследование мазков с задней стенки глотки на менингококк (Neisseria meningiditis)</t>
  </si>
  <si>
    <t>Бактериологическое исследование слизи с задней стенки глотки на менингококк (Neisseria meningiditis)</t>
  </si>
  <si>
    <t>Микроскопическое исследование мазков с миндалин на гонококк (Neisseria gonorrhoeae)</t>
  </si>
  <si>
    <t>Бактериологическое исследование смывов из околоносовых полостей на аэробные и факультативно-анаэробные микроорганизмы</t>
  </si>
  <si>
    <t>Микроскопическое исследование мазков мокроты на микобактерии туберкулеза (Mycobacterium tuberculosis)</t>
  </si>
  <si>
    <t>Бактериологическое исследование мокроты на микобактерии туберкулеза (Mycobacterium tuberculosis)</t>
  </si>
  <si>
    <t>Микробиологическое исследование плеврального эксудата на легионеллу пневмонии (Legionella pneumophilia)</t>
  </si>
  <si>
    <t>Бактериологическое исследование мокроты на аэробные и факультативно-анаэробные микроорганизмы</t>
  </si>
  <si>
    <t>Бактериологическое исследование слизи с задней стенки глотки на палочку коклюша (Bordetella pertussis)</t>
  </si>
  <si>
    <t>Бактериологическое исследование кала на возбудителя дизентерии (Shigella spp.)</t>
  </si>
  <si>
    <t>Бактериологическое исследование кала на тифо-паратифозные микроорганизмы (Salmonella typhi)</t>
  </si>
  <si>
    <t>Бактериологическое исследование кала на сальмонеллы (Salmonella spp.)</t>
  </si>
  <si>
    <t>Бактериологическое исследование кала на аэробные и факультативно-анаэробные микроорганизмы</t>
  </si>
  <si>
    <t>Микроскопическое исследование отделяемого женских половых органов на гонококк (Neisseria gonorrhoeae)</t>
  </si>
  <si>
    <t>Бактериологическое исследование отделяемого женских половых органов на гонококк (Neisseria gonorrhoeae)</t>
  </si>
  <si>
    <t>Микроскопическое исследование отделяемого женских половых органов на аэробные и факультативно анаэробные микроорганизмы</t>
  </si>
  <si>
    <t>Микробиологическое исследование отделяемого женских половых органов на аэробные и факультативно-анаэробные микроорганизмы</t>
  </si>
  <si>
    <t>Микроскопическое исследование отделяемого из уретры на гонококк (Neisseria gonorrhoeae)</t>
  </si>
  <si>
    <t>Бактериологическое исследование отделяемого из уретры на гонококк (Neisseria gonorrhoeae)</t>
  </si>
  <si>
    <t>Микроскопическое исследование отделяемого из цервикального канала на уреаплазму"Уреалитикум"</t>
  </si>
  <si>
    <t>Микроскопическое исследование отделяемого из цервикального канала на микоплазму"Хоминис"</t>
  </si>
  <si>
    <t>Микроскопическое исследование отделяемого из цервикального каналп на микоплазму "Гениталиум"</t>
  </si>
  <si>
    <t>Микроскопическое исследование отделяемого из цервикального канала на трихомониаз</t>
  </si>
  <si>
    <t>Микроскопическое исследование отделяемого из цервикального канала на бактериальный вагиноз (гарднереллы)</t>
  </si>
  <si>
    <t>Микроскопическое исследование отделяемого из цервикального канала на хламидиоз</t>
  </si>
  <si>
    <t>Микроскопическое исследование отделяемого из уретры на кандида (Candida spp.)</t>
  </si>
  <si>
    <t>Микроскопическое исследование спинномозговой жидкости (СМЖ) на менингококк (Neisseria meningiditis)</t>
  </si>
  <si>
    <t>Бактериологическое исследование спинномозговой жидкости  на менингококк (Neisseria meningiditis)</t>
  </si>
  <si>
    <t>Бактериологическое исследование отделяемого из ушей на аэробные и факультативно-анаэробные микроорганизмы</t>
  </si>
  <si>
    <t>Микроскопическое исследование отделяемого из ушей на аспергиллы (Aspergillus niger)</t>
  </si>
  <si>
    <t>Микроскопическое исследование отделяемого коньюнктивы на аэробные и факультативно-анаэробные микроорганизмы</t>
  </si>
  <si>
    <t>Бактериологическое исследование отделяемого конъюнктивы (слезная жидкость) на аэробные и факультативно-анаэробные условно-патогенные микроорганизмы</t>
  </si>
  <si>
    <t>Микробиологическое исследование мочи на микобактерии (Mycobacterium spp.)</t>
  </si>
  <si>
    <t>Микробиологическое исследование мочи на аэробные и факультативно-анаэробные условно-патогенные микроорганизмы</t>
  </si>
  <si>
    <t>Определение чувствительности микроорганизмов к антибиотикам и другим препаратам</t>
  </si>
  <si>
    <t>Исследование инструментов на стерильность</t>
  </si>
  <si>
    <t>Исследование шовного материала на стерильность</t>
  </si>
  <si>
    <t>Смывы предметов окружающей среды на БГКП</t>
  </si>
  <si>
    <t>Смывы на золотистый стафилокок</t>
  </si>
  <si>
    <t>Контроль донороской крови, плазмы и кровозаменителей</t>
  </si>
  <si>
    <t>Обсемененность воздуха на общее микробное число (ОМЧ), БГКП</t>
  </si>
  <si>
    <t>Определение антител классов A,M, G (IgA, IgM, IgG) к хламидии трахоматис (Chlamydia trachomatis) в крови</t>
  </si>
  <si>
    <t>Определение антител классов A,M, G (IgA, IgM, IgG) к хламидии трахоматис (Chlamydia trachomatis) в крови (хламиантиген)</t>
  </si>
  <si>
    <t>Определение антител классов M, G (IgM, IgG) к цитомегаловирусу (Cytomegalovirus) в крови</t>
  </si>
  <si>
    <t>Определение антител классов M, G (IgM, IgG) к цитомегаловирусу (Cytomegalovirus) в крови ( определение авидности)</t>
  </si>
  <si>
    <t>Определение антител класса G (IgG) к эхинококку однокамерному в крови</t>
  </si>
  <si>
    <t>Определение антител классов A, M, G (IgM, IgA, IgG) к лямблиям в крови</t>
  </si>
  <si>
    <t>Определение антител к хеликобактеру пилори (Helicobacter pylori) в крови</t>
  </si>
  <si>
    <t>Определение антигена к вирусу гепатита В (НbsAg Hepatitis B virus) в крови</t>
  </si>
  <si>
    <t>Определение антител классов M, G (IgM, IgG) к вирусному гепатиту С (Hepatitis C virus) в крови</t>
  </si>
  <si>
    <t>Определение антител классов M, G (IgM, IgG) к вирусу простого герпеса (Herpes simplex virus 1, 2) в крови</t>
  </si>
  <si>
    <t>Определение антител классов M, G (IgM, IgG) к вирусу простого герпеса (Herpes simplex virus 1, 2) в крови ( на авидность)</t>
  </si>
  <si>
    <t>Определение  антигена к микоплазме человеческой (Mycoplasma hominis) (соскобы эпителиальных клеток) в крови</t>
  </si>
  <si>
    <t>Определение антител к возбудителю описторхоза (Opistorchis felineus) в крови</t>
  </si>
  <si>
    <t>Определение антигена ротавируса в крови</t>
  </si>
  <si>
    <t>Определение антител классов M, G (IgM, IgG) к вирусу краснухи (Rubeola virus) в крови</t>
  </si>
  <si>
    <t>Определение антител класса G (Ig G) к уреаплазме в крови</t>
  </si>
  <si>
    <t>Определение антител к трихинеллам (Trichinella spp.) в крови</t>
  </si>
  <si>
    <t>Определение антител к токсокаре собак (Toxocara canis) в крови</t>
  </si>
  <si>
    <t>Определение антител к токсоплазме (Toxoplasma gondii) в крови</t>
  </si>
  <si>
    <t>Определение антител к токсоплазме (Toxoplasma gondii) в крови  (авидность)</t>
  </si>
  <si>
    <t>Определение антител к вирусу клещевого энцефалита в крови</t>
  </si>
  <si>
    <t>Исследование уровня антигена аденогенных раков Ca 125 в крови</t>
  </si>
  <si>
    <t>Исследование уровня антигена аденогенных раков Са 72-4 в крови</t>
  </si>
  <si>
    <t>Исследование уровня антигена аденогенных раков СА 19-9 в крови</t>
  </si>
  <si>
    <t>Исследование уровня ракового эмбрионального антигена в крови</t>
  </si>
  <si>
    <t>Исследование уровня антигена плоскоклеточных раков в крови</t>
  </si>
  <si>
    <t>Исследование свободного трийодтиронина (Т3) в крови</t>
  </si>
  <si>
    <t>Исследование уровня свободного трийодтиронина (Т3) в сыворотке крови</t>
  </si>
  <si>
    <t>Исследование уровня свободного тироксина (Т4) сыворотки крови</t>
  </si>
  <si>
    <t>Оформление и выдача медицинской  справки (по личной инициативе граждан)</t>
  </si>
  <si>
    <t>Ксерокопирование документов (по личной инициативе граждан)</t>
  </si>
  <si>
    <t>Измерение артериального  давления (по личной инициативе граждан)</t>
  </si>
  <si>
    <t>Взятие крови из вены  (по личной инициативе граждан)</t>
  </si>
  <si>
    <t>Внутримышечная или подкожная инъекция ( без учета стоимости медикаментов)</t>
  </si>
  <si>
    <t>Иъекция внутривенная ( без учета стоимости медикаментов)</t>
  </si>
  <si>
    <t>Инъекция внутривенная капельная ( без учета стоимости медикаментов)</t>
  </si>
  <si>
    <t>Труп помыть,подбрить,одеть, уложить (по личной инициативе граждан)</t>
  </si>
  <si>
    <t>Наложение грима</t>
  </si>
  <si>
    <t>г.Владивосток</t>
  </si>
  <si>
    <t>г.Уссурийск</t>
  </si>
  <si>
    <t>г.Спасск-Дальний</t>
  </si>
  <si>
    <t>п.Сибирцево</t>
  </si>
  <si>
    <t>п.Реттиховка</t>
  </si>
  <si>
    <t>Медицинское освидетельствование граждан для выдачи лицензии на право приобретения оружия</t>
  </si>
  <si>
    <t>Углубленное медицинское освидетельствование на наличие наркотического опьянения в моче:</t>
  </si>
  <si>
    <t>УТВЕРЖДАЮ</t>
  </si>
  <si>
    <t xml:space="preserve"> Приморского края </t>
  </si>
  <si>
    <t>ПЛАН</t>
  </si>
  <si>
    <t>финансово-хозяйственной деятельности</t>
  </si>
  <si>
    <t>КОДЫ</t>
  </si>
  <si>
    <t>Дата</t>
  </si>
  <si>
    <t xml:space="preserve">Наименование краевого государственного бюджетного  учреждения </t>
  </si>
  <si>
    <r>
      <t xml:space="preserve"> </t>
    </r>
    <r>
      <rPr>
        <b/>
        <u/>
        <sz val="14"/>
        <rFont val="Times New Roman"/>
        <family val="1"/>
      </rPr>
      <t>Краевое государственное бюджетное  учреждение здравоохранения  «Черниговская центральная районная больница»</t>
    </r>
  </si>
  <si>
    <r>
      <t xml:space="preserve">ИНН/КПП   </t>
    </r>
    <r>
      <rPr>
        <b/>
        <sz val="14"/>
        <rFont val="Times New Roman"/>
        <family val="1"/>
      </rPr>
      <t xml:space="preserve"> 2533001523/253301001</t>
    </r>
  </si>
  <si>
    <t>Наименование органа, осуществляющего</t>
  </si>
  <si>
    <t>692372 Приморский край</t>
  </si>
  <si>
    <t>Черниговский район с.Черниговка</t>
  </si>
  <si>
    <t>ул.Дзержинского, 37а</t>
  </si>
  <si>
    <t>I. Сведения о деятельности государственного бюджетного</t>
  </si>
  <si>
    <t xml:space="preserve"> учреждения</t>
  </si>
  <si>
    <t xml:space="preserve">           1.1. Цели деятельности государственного бюджетного  учреждения : </t>
  </si>
  <si>
    <t xml:space="preserve">- сохранение    и    укрепление    состояния    здоровья    населения,    повышение  доступности и    улучшение качества    оказания    медицинской помощи. Оказание  медицинской  помощи населению в соответствии с Программой государственных  гарантий оказания гражданам Российской Федерации, проживающим на территории Приморского  края, бесплатной медицинской помощи. </t>
  </si>
  <si>
    <t xml:space="preserve">        1.2. Виды деятельности государственного бюджетного  учреждения:</t>
  </si>
  <si>
    <t xml:space="preserve"> - медицинская деятельность:</t>
  </si>
  <si>
    <t xml:space="preserve">          доврачебная медицинская помощь по: акушерскому делу, анестезиологии и реаниматологии,  вакцинации (проведению профилактических прививок),   гистологии,     лабораторной    диагностике,    лечебной физкультуре,  лечебному    делу, медицинским осмотрам (предрейсовым, послерейсовым), медицинским осмотрам профилактическим, медицинской статистике, медицинскому   массажу, неотложной медицинской  помощи,  операционному  делу,   организации   сестринского   дела,  рентгенологии,    сестринскому   делу,    сестринскому   делу    в    педиатрии,    скорой медицинской помощи, стоматологии, стоматологии детской, стоматологии ортопедической, стоматологии терапевтической, стоматологии хирургической, физиотерапии, функциональной диагностике, эпидемиологии,  экспертизе временной нетрудоспособности; </t>
  </si>
  <si>
    <t xml:space="preserve"> -   амбулаторно-поликлиническая медицинская помощь, в том числе:</t>
  </si>
  <si>
    <t xml:space="preserve">     первичная медико-санитарная помощь по: инфекционным болезням, кардиологии, контролю качества медицинской  помощи,    клинической    лабораторной    диагностике, медицинским осмотрам (предрейсовым, послерейсовым), неврологии, общественному здоровью    и   организации   здравоохранения,    оториноларингологии,    офтальмологии, педиатрии,  психотерапии,  рентгенологии,  терапии,  травматологии  и  ортопедии, ультразвуковой диагностике, физиотерапии, функциональной диагностике, хирургии, экспертизе временной нетрудоспособности, эндоскопии, эндокринологии;</t>
  </si>
  <si>
    <t>- женщинам в период беременности, во время и после родов по: акушерству и гинекологии, неонатологии, экспертизе временной нетрудоспособности;</t>
  </si>
  <si>
    <t>- специализированная медицинская помощь по: акушерству и гинекологии, дерматовенерологии, детской хирургии,  контролю качества медицинской помощи,  мануальной терапии, медицинским осмотрам (предварительным, периодическим), медицинскому (наркологическому) освидетельствованию, онкологии, психиатрии, профпатологии, психиатрии-наркологии, стоматологии ортопедической, стоматологии терапевтической, стоматологии хирургической, транспортировке донорской крови и ее компонентов, трансфузиологии, фтизиатрии, экспертизе временной нетрудоспособности, экспертизе на право владения оружием, экспертизе профпригодности, экспертизе наркологической; медицинскому (наркологическому) освидетельстьвованию;</t>
  </si>
  <si>
    <t>- стационарная медицинская помощь, в том числе:</t>
  </si>
  <si>
    <t>первичная медико-санитарная помощь по: анестезиологии и реаниматологии, инфекционным болезням, кардиологии, контролю качества медицинской помощи, клинической лабораторной диагностике, неврологии, педиатрии, рентгенологии, терапии, травматологии и ортопедии, ультразвуковой диагностике, физиотерапии, функциональной диагностике, хирургии, экспертизе временной нетрудоспособности, эндоскопии;</t>
  </si>
  <si>
    <t>женщинам в период беременности, во время и после родов по: акушерству и гинекологии, неонатологии, экспертизе временной нетрудоспособности;</t>
  </si>
  <si>
    <t>- специализированной медицинской помощи по: бактериологии,  детской хирургии, мануальной терапии, общественному здоровью и организации здравоохранения, патологической анатомии, трансфузиологии, экспертизе временной нетрудоспособности, эндоскопии;</t>
  </si>
  <si>
    <t>- фармацевтическая деятельность;</t>
  </si>
  <si>
    <t>- деятельность, связанная с оборотом наркотических средств, психотропных веществ и их прекурсоров;</t>
  </si>
  <si>
    <t>организация и проведение мероприятий по гигиеническому воспитанию населения, пропаганды здорового образа жизни, включая снижение потребления алкоголя и табака;</t>
  </si>
  <si>
    <t>- деятельность, связанная с использованием возбудителей инфекционных заболеваний;</t>
  </si>
  <si>
    <t>- деятельность, связанная с источниками ионизирующего излучения.</t>
  </si>
  <si>
    <t>Реализация указанных видов деятельности осуществляется в соответствии с лицензией в целях обеспечения выполнения государственных заданий на оказание государственных услуг (выполнение работ).</t>
  </si>
  <si>
    <t>1.3. Перечень услуг (работ), осуществляемых на платной основе:</t>
  </si>
  <si>
    <t xml:space="preserve">   (Приложение №1)</t>
  </si>
  <si>
    <t>II. Показатели финансового состояния учреждения</t>
  </si>
  <si>
    <t>Сумма</t>
  </si>
  <si>
    <t xml:space="preserve">из них: </t>
  </si>
  <si>
    <t xml:space="preserve">1.1. Общая балансовая стоимость недвижимого имущества, находящегося в собственности Приморского края, всего </t>
  </si>
  <si>
    <t xml:space="preserve">1.1.1. Стоимость имущества, закрепленного собственником имущества за государственным бюджетным (автономным) учреждением на праве оперативного управления </t>
  </si>
  <si>
    <t xml:space="preserve">1.1.3. Стоимость имущества, приобретенного государственным бюджетным (автономным) учреждением (подразделением) за счет доходов, полученных от платной и иной приносящей доход деятельности </t>
  </si>
  <si>
    <t xml:space="preserve">1.1.4. Остаточная стоимость недвижимого имущества, находящегося в собственности Приморского края </t>
  </si>
  <si>
    <t xml:space="preserve">1.2. Общая балансовая стоимость движимого имущества, находящегося в собственности Приморского края, всего </t>
  </si>
  <si>
    <t xml:space="preserve">1.2.1. Общая балансовая стоимость особо ценного движимого имущества </t>
  </si>
  <si>
    <t xml:space="preserve">1.2.2. Остаточная стоимость особо ценного движимого имущества </t>
  </si>
  <si>
    <t xml:space="preserve">II. Финансовые активы, всего </t>
  </si>
  <si>
    <t xml:space="preserve">III. Обязательства, всего </t>
  </si>
  <si>
    <t xml:space="preserve">3.3.1. По начислениям на выплаты по оплате труда </t>
  </si>
  <si>
    <t xml:space="preserve">3.3.2. По оплате услуг связи </t>
  </si>
  <si>
    <t xml:space="preserve">3.3.3. По оплате транспортных услуг </t>
  </si>
  <si>
    <t xml:space="preserve">3.3.4. По оплате коммунальных услуг </t>
  </si>
  <si>
    <t xml:space="preserve">3.3.5. По оплате услуг по содержанию имущества </t>
  </si>
  <si>
    <t xml:space="preserve">3.3.6. По оплате прочих услуг </t>
  </si>
  <si>
    <t xml:space="preserve">3.3.7. По приобретению основных средств </t>
  </si>
  <si>
    <t xml:space="preserve">3.3.8. По приобретению нематериальных активов </t>
  </si>
  <si>
    <t xml:space="preserve">3.3.9. По приобретению непроизведенных активов </t>
  </si>
  <si>
    <t xml:space="preserve">3.3.10. По приобретению материальных запасов </t>
  </si>
  <si>
    <t xml:space="preserve">3.3.11. По оплате прочих расходов </t>
  </si>
  <si>
    <t xml:space="preserve">3.3.12. По платежам в бюджет </t>
  </si>
  <si>
    <t xml:space="preserve">3.3.13. По прочим расчетам с кредиторами </t>
  </si>
  <si>
    <t>1.1.2. Стоимость имущества, приобретенного государственным бюджетным (автономным) учреждением (подразделением) за счет выделенных собственником имущества учреждения средств</t>
  </si>
  <si>
    <t>1.1. Расчеты (обоснования) расходов на оплату труда на 2017 год (на все должности)</t>
  </si>
  <si>
    <t>(финансовый год (финансовый год и плановый период), на который представлены содержащиеся в документе сведения</t>
  </si>
  <si>
    <t>Код по сводному реестру участников бюджетного процесса, а так же юридических лиц, не являющихся участниками бюджетного процесса</t>
  </si>
  <si>
    <t>052У5599</t>
  </si>
  <si>
    <t>функции и полномочия учредителя  (отраслевой орган)</t>
  </si>
  <si>
    <t>Департамент здравоохранения Приморского края</t>
  </si>
  <si>
    <t>Адрес фактического местонахождения краевого государственного бюджетного учреждения</t>
  </si>
  <si>
    <t>(на последнюю отчетную дату)</t>
  </si>
  <si>
    <t>2.1. Денежные средства учреждения, всего</t>
  </si>
  <si>
    <t>2.1.1 Денежные средства учреждения на счетах</t>
  </si>
  <si>
    <t>2.1.2 Денежные средства учреждения, размещенные на депозиты в кредитной организации</t>
  </si>
  <si>
    <t>2.2 Иные финансовые инструменты</t>
  </si>
  <si>
    <t>2.3 Дебиторская задолженность по доходам, полученным за счет средств краевого бюджета</t>
  </si>
  <si>
    <t>2.4 Дебиторская задолженность по выданным авансам, полученным за счет краевого бюджета всего:</t>
  </si>
  <si>
    <t>2.4.1. По выданным авансам на услуги связи</t>
  </si>
  <si>
    <t xml:space="preserve">2.4.2. По выданным авансам на транспортные услуги </t>
  </si>
  <si>
    <t xml:space="preserve">2.4.3. По выданным авансам на коммунальные услуги </t>
  </si>
  <si>
    <t xml:space="preserve">2.4.4. По выданным авансам на услуги по содержанию имущества </t>
  </si>
  <si>
    <t xml:space="preserve">2.4.5. По выданным авансам на прочие услуги </t>
  </si>
  <si>
    <t xml:space="preserve">2.4.6. По выданным авансам на приобретение основных средств </t>
  </si>
  <si>
    <t xml:space="preserve">2.4.7. По выданным авансам на приобретение нематериальных активов </t>
  </si>
  <si>
    <t xml:space="preserve">2.4.8. По выданным авансам на приобретение непроизведенных активов </t>
  </si>
  <si>
    <t xml:space="preserve">2.4.9. По выданным авансам на приобретение материальных запасов </t>
  </si>
  <si>
    <t xml:space="preserve">2.4.10. По выданным авансам на прочие расходы </t>
  </si>
  <si>
    <t xml:space="preserve">2.5. Дебиторская задолженность по выданным авансам за счет доходов, полученных от платной и иной приносящей доход деятельности, всего: </t>
  </si>
  <si>
    <t xml:space="preserve">2.5.1. По выданным авансам на услуги связи </t>
  </si>
  <si>
    <t xml:space="preserve">2.5.2. По выданным авансам на транспортные услуги </t>
  </si>
  <si>
    <t xml:space="preserve">2.5.3. По выданным авансам на коммунальные услуги </t>
  </si>
  <si>
    <t xml:space="preserve">2.5.4. По выданным авансам на услуги по содержанию имущества </t>
  </si>
  <si>
    <t xml:space="preserve">2.5.5. По выданным авансам на прочие услуги </t>
  </si>
  <si>
    <t xml:space="preserve">2.5.6. По выданным авансам на приобретение основных средств </t>
  </si>
  <si>
    <t xml:space="preserve">2.5.7. По выданным авансам на приобретение нематериальных активов </t>
  </si>
  <si>
    <t xml:space="preserve">2.5.8. По выданным авансам на приобретение непроизведенных активов </t>
  </si>
  <si>
    <t xml:space="preserve">2.5.9. По выданным авансам на приобретение материальных запасов </t>
  </si>
  <si>
    <t xml:space="preserve">2.5.10. По выданным авансам на прочие расходы </t>
  </si>
  <si>
    <t>3.1. Долговые обязательства</t>
  </si>
  <si>
    <t>3.2Просроченная кредиторская задолженность</t>
  </si>
  <si>
    <t>3.3 Кредиторская задолженность по расчетам с поставщиками и подрядчиками за счет средств краевого бюджета, всего:</t>
  </si>
  <si>
    <t xml:space="preserve">3.4. Кредиторская задолженность по расчетам с поставщиками и подрядчиками за счет доходов, полученных от оказания платных услуг (вывполнения работ) и иной приносящей доход деятельности, всего: </t>
  </si>
  <si>
    <t xml:space="preserve">3.4.1. По начислениям на выплаты по оплате труда </t>
  </si>
  <si>
    <t xml:space="preserve">3.4.2. По оплате услуг связи </t>
  </si>
  <si>
    <t xml:space="preserve">3.4.3. По оплате транспортных услуг </t>
  </si>
  <si>
    <t xml:space="preserve">3.4.4. По оплате коммунальных услуг </t>
  </si>
  <si>
    <t xml:space="preserve">3.4.5. По оплате услуг по содержанию имущества </t>
  </si>
  <si>
    <t xml:space="preserve">3.4.6. По оплате прочих услуг </t>
  </si>
  <si>
    <t xml:space="preserve">3.4.7. По приобретению основных средств </t>
  </si>
  <si>
    <t xml:space="preserve">3.4.8. По приобретению нематериальных активов </t>
  </si>
  <si>
    <t xml:space="preserve">3.4.9. По приобретению непроизведенных активов </t>
  </si>
  <si>
    <t xml:space="preserve">3.4.10. По приобретению материальных запасов </t>
  </si>
  <si>
    <t xml:space="preserve">3.4.11. По оплате прочих расходов </t>
  </si>
  <si>
    <t xml:space="preserve">3.4.12. По платежам в бюджет </t>
  </si>
  <si>
    <t xml:space="preserve">3.4.13. По прочим расчетам с кредиторами </t>
  </si>
  <si>
    <t xml:space="preserve">I. Нефинансовые активы, всего: </t>
  </si>
  <si>
    <t>Код видов расходов:</t>
  </si>
  <si>
    <t>7 (ОМС)</t>
  </si>
  <si>
    <t>Источник финансового обеспечения:</t>
  </si>
  <si>
    <t>7 ( ОМС)</t>
  </si>
  <si>
    <t xml:space="preserve">Код видов расходов: </t>
  </si>
  <si>
    <t>Автомобильные масла (тонн)</t>
  </si>
  <si>
    <t>Поставка расходного материала для лаборатории (упаковка)</t>
  </si>
  <si>
    <t>Поставка инфузионных растворов (упаковка)</t>
  </si>
  <si>
    <t>Поставка компьютерных комплектующих и расходных материалов (штук)</t>
  </si>
  <si>
    <t>Поставка нефтепродуктов (литров)</t>
  </si>
  <si>
    <t>Лекарственные препараты (упаковок)</t>
  </si>
  <si>
    <t>Медицинские расходные материалы (упаковок)</t>
  </si>
  <si>
    <t>Поставка сантехники (штук)</t>
  </si>
  <si>
    <t>Канцелярия (штук)</t>
  </si>
  <si>
    <t>Поставка стоматологических материалов (упаковок)</t>
  </si>
  <si>
    <t>Поставка автошин (штук)</t>
  </si>
  <si>
    <t>Поставка дезинфицирующих средств (упаковка)</t>
  </si>
  <si>
    <t>Поставка электрики (штук)</t>
  </si>
  <si>
    <t>Поставка строительных материалов (штук)</t>
  </si>
  <si>
    <t>Медицинское оборудование (до 100 тыс.руб) (штук)</t>
  </si>
  <si>
    <t>из них:                                     1.  Стационарная помощь</t>
  </si>
  <si>
    <t>2. Амбулаторно-поликлиническая помощь</t>
  </si>
  <si>
    <t>3. ДСП</t>
  </si>
  <si>
    <t>4. СМП</t>
  </si>
  <si>
    <t>субсидии на иные цели</t>
  </si>
  <si>
    <t>Коронка пластмассовая, зуб пластмассовый</t>
  </si>
  <si>
    <t>Починка протеза с одной линией отлома (трещина)</t>
  </si>
  <si>
    <t>Снятие одного оттиска из альгинатных материалов</t>
  </si>
  <si>
    <t>Замена или приварка одного зуба в протезе</t>
  </si>
  <si>
    <t>Замена одного кламмера</t>
  </si>
  <si>
    <t>Изготовление гнутого одноплечевого кламмера</t>
  </si>
  <si>
    <t>субсидии на финансовое обеспечение выполнения государственного задания из бюджета Федерального фонда обязательного медицинского страхования</t>
  </si>
  <si>
    <t>возмещение расходов ФСС</t>
  </si>
  <si>
    <t>Иные выплаты персоналу  учреждений, за исключением фонда оплаты труда</t>
  </si>
  <si>
    <t>из них:                                              1. Уплата налога на имущество организаций и земельного налога</t>
  </si>
  <si>
    <t>2. Уплата прочих налогов, сборов (транспортный)</t>
  </si>
  <si>
    <t>средства по обязательному  медицинскому страхованию</t>
  </si>
  <si>
    <t>возвращено расходов прошлых лет</t>
  </si>
  <si>
    <t>безвозмездные
перечисления
организациям</t>
  </si>
  <si>
    <r>
      <rPr>
        <sz val="10"/>
        <rFont val="Times New Roman"/>
        <family val="1"/>
        <charset val="204"/>
      </rPr>
      <t>по КДФ</t>
    </r>
    <r>
      <rPr>
        <sz val="12"/>
        <rFont val="Times New Roman"/>
        <family val="1"/>
      </rPr>
      <t xml:space="preserve">              761</t>
    </r>
  </si>
  <si>
    <r>
      <rPr>
        <sz val="10"/>
        <rFont val="Times New Roman"/>
        <family val="1"/>
        <charset val="204"/>
      </rPr>
      <t>по ОКПО</t>
    </r>
    <r>
      <rPr>
        <sz val="12"/>
        <rFont val="Times New Roman"/>
        <family val="1"/>
      </rPr>
      <t xml:space="preserve">    1914529</t>
    </r>
  </si>
  <si>
    <t>Единица измерения:  рубли</t>
  </si>
  <si>
    <r>
      <rPr>
        <sz val="10"/>
        <rFont val="Times New Roman"/>
        <family val="1"/>
        <charset val="204"/>
      </rPr>
      <t xml:space="preserve">по ОКЕИ </t>
    </r>
    <r>
      <rPr>
        <sz val="12"/>
        <rFont val="Times New Roman"/>
        <family val="1"/>
      </rPr>
      <t xml:space="preserve">           383</t>
    </r>
  </si>
  <si>
    <t>доходы от операций с активами, в том числе:</t>
  </si>
  <si>
    <t>от выбытий материальных запасов</t>
  </si>
  <si>
    <t>Х</t>
  </si>
  <si>
    <t>Возмещено расходов прошлых лет</t>
  </si>
  <si>
    <t>1.4 Расчеты (обоснования) страховых взносов на обязательное страхование в Пенсионный фонд Российской Федерации, в Фонд социального страхования Российской Федерации</t>
  </si>
  <si>
    <t>4 (субсии на выполнение государственного задания)</t>
  </si>
  <si>
    <t>БЮДЖЕТ</t>
  </si>
  <si>
    <t xml:space="preserve">Код видов расходов </t>
  </si>
  <si>
    <t>0</t>
  </si>
  <si>
    <t>120</t>
  </si>
  <si>
    <t>Конверты</t>
  </si>
  <si>
    <t>26,9</t>
  </si>
  <si>
    <t>Санитарно-гигиенические исследования</t>
  </si>
  <si>
    <t>Поставка расходного материала для лаборатории</t>
  </si>
  <si>
    <t>Поставка инфузионных растворов</t>
  </si>
  <si>
    <t>Поставка рентгенологической и флюорографической пленки</t>
  </si>
  <si>
    <t xml:space="preserve">Поставка дезинфицирующих средств </t>
  </si>
  <si>
    <t>Поставка электрики</t>
  </si>
  <si>
    <t>Поставка строительных материалов</t>
  </si>
  <si>
    <t>Медицинское оборудование  (до 100 тыс.руб)</t>
  </si>
  <si>
    <t>1.4. Расчеты (обоснования) страховых взносов на обязательное страхование в Пенсионный фонд Российской Федерации, в Фонд социального страхования Российской Федерации, в Федеральный фонд обязательного медицинского страхования</t>
  </si>
  <si>
    <t>в том числе:                                                                                               по ставке 22,0%</t>
  </si>
  <si>
    <t>2 (поступления от оказания услуг(выполнения работ) на платной основе и иной приносящей доход деятельности</t>
  </si>
  <si>
    <t>852; 244</t>
  </si>
  <si>
    <t>2 (поступления от оказания услуг (выполнения работ) на платной основе и иной приносящей доход деятельности</t>
  </si>
  <si>
    <t xml:space="preserve"> 1.</t>
  </si>
  <si>
    <t>Госпошлина  (арбитражный суд, нотариус, за регистрацию (постановку на учет) автомобиля  и др.)</t>
  </si>
  <si>
    <t>2.</t>
  </si>
  <si>
    <t xml:space="preserve">Проведение  массовых мероприятий (спортивных, медицинских праздников, конкурсов); оплата пеней и неустоек, приобретение подарков к праздникам, оплата материальной помощи </t>
  </si>
  <si>
    <t>Аренда помещений для медработников</t>
  </si>
  <si>
    <t>Кабинет физиопроцедур</t>
  </si>
  <si>
    <t>Канцелярия, хозяйственные товары, моющие и  прочие (штук)</t>
  </si>
  <si>
    <t>Поставка дезинфицирующих средств  (упаковка)</t>
  </si>
  <si>
    <t>Медицинское оборудование</t>
  </si>
  <si>
    <t xml:space="preserve">в соответствии с Федеральным законом от 18 июля 2011 г. № 223-ФЗ «О закупках товаров, работ, услуг отдельными видами юридических лиц»
</t>
  </si>
  <si>
    <t>в соответствии с Федеральным законом от 5 апреля 2013 г. № 44-ФЗ «О контрактной системе в сфере закупок товаров, работ, услуг для обеспечения государственных и муниципальных нужд»</t>
  </si>
  <si>
    <t xml:space="preserve">3. Уплата иных платежей </t>
  </si>
  <si>
    <t>Наименование услуги</t>
  </si>
  <si>
    <t>1. Услуги специалистов поликлиники</t>
  </si>
  <si>
    <t>1.1</t>
  </si>
  <si>
    <t>Профилактический осмотр врача-профпатолога, заключение</t>
  </si>
  <si>
    <t>1.9</t>
  </si>
  <si>
    <t>1.10</t>
  </si>
  <si>
    <t>1.11</t>
  </si>
  <si>
    <t>1.12</t>
  </si>
  <si>
    <t>Прием (осмотр, консультация) врача -офтальмолога первичный</t>
  </si>
  <si>
    <t>1.13</t>
  </si>
  <si>
    <t>Прием (осмотр, консультация) врача -офтальмолога повторный</t>
  </si>
  <si>
    <t>1.14</t>
  </si>
  <si>
    <t>Прием (осмотр, консультация) врача -офтальмолога профилактический</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</si>
  <si>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</si>
  <si>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</si>
  <si>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</si>
  <si>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</si>
  <si>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</si>
  <si>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</si>
  <si>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</si>
  <si>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</si>
  <si>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</si>
  <si>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</si>
  <si>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</si>
  <si>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</si>
  <si>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</si>
  <si>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</si>
  <si>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</si>
  <si>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</si>
  <si>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</si>
  <si>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</si>
  <si>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</si>
  <si>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</si>
  <si>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</si>
  <si>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</si>
  <si>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</si>
  <si>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</si>
  <si>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</si>
  <si>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</si>
  <si>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</si>
  <si>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</si>
  <si>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</si>
  <si>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</si>
  <si>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</si>
  <si>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</si>
  <si>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</si>
  <si>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</si>
  <si>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</si>
  <si>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</si>
  <si>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</si>
  <si>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</si>
  <si>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</si>
  <si>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Прием (осмотр,консультация) врача - психиатра первичный</t>
  </si>
  <si>
    <t>1.54</t>
  </si>
  <si>
    <t>Прием (осмотр,консультация) врача - психиатра  повторный</t>
  </si>
  <si>
    <t>1.55</t>
  </si>
  <si>
    <t>1.56</t>
  </si>
  <si>
    <t>Прием (осмотр,консультация) врача - фтизиатра первичный</t>
  </si>
  <si>
    <t>1.57</t>
  </si>
  <si>
    <t>Прием (осмотр,консультация) врача - фтизиатра  повторный</t>
  </si>
  <si>
    <t>1.58</t>
  </si>
  <si>
    <t>Прием (осмотр,консультация) врача - фтизиатра профилактический</t>
  </si>
  <si>
    <t>1.59</t>
  </si>
  <si>
    <t>1.60</t>
  </si>
  <si>
    <t>2. Услуги специалистов педиатрического отделения поликлиники</t>
  </si>
  <si>
    <t>3. Услуги специалистов акушеров-гинекологов</t>
  </si>
  <si>
    <t>3.3</t>
  </si>
  <si>
    <t>3.4</t>
  </si>
  <si>
    <t>3.5</t>
  </si>
  <si>
    <t>3.6</t>
  </si>
  <si>
    <t>3.7</t>
  </si>
  <si>
    <t>3.8</t>
  </si>
  <si>
    <t>3.9</t>
  </si>
  <si>
    <t>3.10</t>
  </si>
  <si>
    <t>3.11</t>
  </si>
  <si>
    <t>3.12</t>
  </si>
  <si>
    <t>3.13</t>
  </si>
  <si>
    <t>3.14</t>
  </si>
  <si>
    <t>3.15</t>
  </si>
  <si>
    <t>3.16</t>
  </si>
  <si>
    <t>3.17</t>
  </si>
  <si>
    <r>
      <t xml:space="preserve">Операции на НПО </t>
    </r>
    <r>
      <rPr>
        <b/>
        <sz val="11"/>
        <color theme="1"/>
        <rFont val="Times New Roman"/>
        <family val="1"/>
        <charset val="204"/>
      </rPr>
      <t>*</t>
    </r>
  </si>
  <si>
    <t>3.18</t>
  </si>
  <si>
    <t>3.19</t>
  </si>
  <si>
    <r>
      <t xml:space="preserve">Оперативное родоразрешение (при отсутствии полиса ОМС) </t>
    </r>
    <r>
      <rPr>
        <b/>
        <sz val="11"/>
        <color theme="1"/>
        <rFont val="Times New Roman"/>
        <family val="1"/>
        <charset val="204"/>
      </rPr>
      <t>*</t>
    </r>
  </si>
  <si>
    <t>3.20</t>
  </si>
  <si>
    <t>4. Услуги специалистов стоматологического отделения поликлиники</t>
  </si>
  <si>
    <t>4.1</t>
  </si>
  <si>
    <t>4.2</t>
  </si>
  <si>
    <t>4.3</t>
  </si>
  <si>
    <t>4.4</t>
  </si>
  <si>
    <t>4.5</t>
  </si>
  <si>
    <t>4.6</t>
  </si>
  <si>
    <t>4.7</t>
  </si>
  <si>
    <t>4.8</t>
  </si>
  <si>
    <t>4.9</t>
  </si>
  <si>
    <t>4.10</t>
  </si>
  <si>
    <t>4.11</t>
  </si>
  <si>
    <t>4.12</t>
  </si>
  <si>
    <t>4.13</t>
  </si>
  <si>
    <t>4.14</t>
  </si>
  <si>
    <t>4.15</t>
  </si>
  <si>
    <t>4.16</t>
  </si>
  <si>
    <t>4.17</t>
  </si>
  <si>
    <t>4.18</t>
  </si>
  <si>
    <t>4.19</t>
  </si>
  <si>
    <t>4.20</t>
  </si>
  <si>
    <t>4.21</t>
  </si>
  <si>
    <t>4.22</t>
  </si>
  <si>
    <t>4.23</t>
  </si>
  <si>
    <t>5. Зубное протезирование</t>
  </si>
  <si>
    <t>5.2</t>
  </si>
  <si>
    <t>5.3</t>
  </si>
  <si>
    <t>5.4</t>
  </si>
  <si>
    <t>5.5</t>
  </si>
  <si>
    <t>5.6</t>
  </si>
  <si>
    <t>5.7</t>
  </si>
  <si>
    <t>5.8</t>
  </si>
  <si>
    <t>5.9</t>
  </si>
  <si>
    <t>Изготовление одной литой лапки(ответвление)</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</si>
  <si>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</si>
  <si>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</si>
  <si>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</si>
  <si>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</si>
  <si>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</si>
  <si>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</si>
  <si>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</si>
  <si>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</si>
  <si>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</si>
  <si>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</si>
  <si>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</si>
  <si>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</si>
  <si>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</si>
  <si>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</si>
  <si>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</si>
  <si>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</si>
  <si>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</si>
  <si>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</si>
  <si>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</si>
  <si>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</si>
  <si>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</si>
  <si>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</si>
  <si>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</si>
  <si>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</si>
  <si>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</si>
  <si>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</si>
  <si>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</si>
  <si>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</si>
  <si>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</si>
  <si>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</si>
  <si>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</si>
  <si>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6.  Ультразвуковая диагностика</t>
  </si>
  <si>
    <t>6.1</t>
  </si>
  <si>
    <t>6.2</t>
  </si>
  <si>
    <t>Ультразвуковое исследование органов брюшной полости</t>
  </si>
  <si>
    <t>6.3</t>
  </si>
  <si>
    <t>6.4</t>
  </si>
  <si>
    <t>6.5</t>
  </si>
  <si>
    <t>6.6</t>
  </si>
  <si>
    <t>6.7</t>
  </si>
  <si>
    <t>6.8</t>
  </si>
  <si>
    <t>6.9</t>
  </si>
  <si>
    <t>6.10</t>
  </si>
  <si>
    <t>6.11</t>
  </si>
  <si>
    <t>6.12</t>
  </si>
  <si>
    <t>6.13</t>
  </si>
  <si>
    <t>6.14</t>
  </si>
  <si>
    <t>6.15</t>
  </si>
  <si>
    <t>6.16</t>
  </si>
  <si>
    <t>Ультразвуковое исследование сосудов (1 бассейн)</t>
  </si>
  <si>
    <t>6.17</t>
  </si>
  <si>
    <t>6.18</t>
  </si>
  <si>
    <t>6.19</t>
  </si>
  <si>
    <t>6.20</t>
  </si>
  <si>
    <t>6.21</t>
  </si>
  <si>
    <t>6.22</t>
  </si>
  <si>
    <t>6.23</t>
  </si>
  <si>
    <t>6.24</t>
  </si>
  <si>
    <t>6.25</t>
  </si>
  <si>
    <t>6.26</t>
  </si>
  <si>
    <t>6.27</t>
  </si>
  <si>
    <t>6.28</t>
  </si>
  <si>
    <t>6.29</t>
  </si>
  <si>
    <t>7. Массаж</t>
  </si>
  <si>
    <t>7.16</t>
  </si>
  <si>
    <t>7.17</t>
  </si>
  <si>
    <t>7.18</t>
  </si>
  <si>
    <t>7.19</t>
  </si>
  <si>
    <t>7.20</t>
  </si>
  <si>
    <t>7.21</t>
  </si>
  <si>
    <t>7.22</t>
  </si>
  <si>
    <t>7.23</t>
  </si>
  <si>
    <t>7.24</t>
  </si>
  <si>
    <t>7.25</t>
  </si>
  <si>
    <t>7.26</t>
  </si>
  <si>
    <t>8. Физиотерапия</t>
  </si>
  <si>
    <t>8.1</t>
  </si>
  <si>
    <t>8.2</t>
  </si>
  <si>
    <t>8.3</t>
  </si>
  <si>
    <t>8.4</t>
  </si>
  <si>
    <t>8.5</t>
  </si>
  <si>
    <t>8.6</t>
  </si>
  <si>
    <t>8.7</t>
  </si>
  <si>
    <t>8.8</t>
  </si>
  <si>
    <t>8.9</t>
  </si>
  <si>
    <t xml:space="preserve">  9. Рентгенология</t>
  </si>
  <si>
    <t>9.1</t>
  </si>
  <si>
    <t>9.2</t>
  </si>
  <si>
    <t>9.3</t>
  </si>
  <si>
    <t>9.4</t>
  </si>
  <si>
    <t>9.5</t>
  </si>
  <si>
    <t>9.6</t>
  </si>
  <si>
    <t>9.7</t>
  </si>
  <si>
    <t>9.8</t>
  </si>
  <si>
    <t>9.9</t>
  </si>
  <si>
    <t>9.10</t>
  </si>
  <si>
    <t>9.11</t>
  </si>
  <si>
    <t>9.12</t>
  </si>
  <si>
    <t>9.13</t>
  </si>
  <si>
    <t>9.14</t>
  </si>
  <si>
    <t>9.15</t>
  </si>
  <si>
    <t>9.16</t>
  </si>
  <si>
    <t>9.17</t>
  </si>
  <si>
    <t>9.18</t>
  </si>
  <si>
    <t>Рентгенография (обзорная) грудной клетки, в 1 проекции</t>
  </si>
  <si>
    <t>9.19</t>
  </si>
  <si>
    <t>Рентгенография (обзорная) грудной клетки, в 2 проекциях</t>
  </si>
  <si>
    <t>9.20</t>
  </si>
  <si>
    <t>9.21</t>
  </si>
  <si>
    <t>9.22</t>
  </si>
  <si>
    <t>9.23</t>
  </si>
  <si>
    <t>9.24</t>
  </si>
  <si>
    <t>9.25</t>
  </si>
  <si>
    <t>9.26</t>
  </si>
  <si>
    <t>9.27</t>
  </si>
  <si>
    <t>9.28</t>
  </si>
  <si>
    <t>9.29</t>
  </si>
  <si>
    <t>9.30</t>
  </si>
  <si>
    <t>9.31</t>
  </si>
  <si>
    <t>10.  Эндоскопия</t>
  </si>
  <si>
    <t>10.1</t>
  </si>
  <si>
    <t>10.2</t>
  </si>
  <si>
    <t>10.3</t>
  </si>
  <si>
    <t>10.4</t>
  </si>
  <si>
    <t>10.5</t>
  </si>
  <si>
    <t>10.6</t>
  </si>
  <si>
    <t>10.7</t>
  </si>
  <si>
    <t>10.8</t>
  </si>
  <si>
    <t>10.9</t>
  </si>
  <si>
    <t>10.10</t>
  </si>
  <si>
    <t>10.11</t>
  </si>
  <si>
    <t>10.12</t>
  </si>
  <si>
    <t>10.13</t>
  </si>
  <si>
    <t>Тотальная внутривенная анестезия по желанию пациента</t>
  </si>
  <si>
    <t>11. Функциональная диагностика</t>
  </si>
  <si>
    <t>11.1</t>
  </si>
  <si>
    <t>11.2</t>
  </si>
  <si>
    <t>11.3</t>
  </si>
  <si>
    <t>11.4</t>
  </si>
  <si>
    <t>Спирография</t>
  </si>
  <si>
    <t>11.5</t>
  </si>
  <si>
    <t>Электроэнцефалография</t>
  </si>
  <si>
    <t>12. Услуги клинической лаборатории</t>
  </si>
  <si>
    <t>12.1.   Исследование крови</t>
  </si>
  <si>
    <t>12.1.1</t>
  </si>
  <si>
    <t>Общий клинический анализ крови (5 показателей)</t>
  </si>
  <si>
    <t>12.1.2</t>
  </si>
  <si>
    <t>Общий клинический анализ крови (развернутый)</t>
  </si>
  <si>
    <t>12.1.3</t>
  </si>
  <si>
    <t>Исследование уровня гемоглобина в крови</t>
  </si>
  <si>
    <t>12.1.4</t>
  </si>
  <si>
    <t>Исследование уровня лейкоцитов в крови</t>
  </si>
  <si>
    <t>12.1.5</t>
  </si>
  <si>
    <t>Исследование уровня эритроцитов в крови</t>
  </si>
  <si>
    <t>12.1.6</t>
  </si>
  <si>
    <t>Исследование уровня тромбоцитов в крови</t>
  </si>
  <si>
    <t>12.1.7</t>
  </si>
  <si>
    <t>Исследование уровня ретикулоцитов в крови</t>
  </si>
  <si>
    <t>12.1.8</t>
  </si>
  <si>
    <t>Подсчет лейкоформулы крови</t>
  </si>
  <si>
    <t>12.1.9</t>
  </si>
  <si>
    <t>Просмотр мазка крови для анализа аномалий эритроцитов (базофильная зернистость эритроцитов, тельца гейнца и т.д.)</t>
  </si>
  <si>
    <t>12.1.10</t>
  </si>
  <si>
    <t>Определение цветного показателя</t>
  </si>
  <si>
    <t>12.1.11</t>
  </si>
  <si>
    <t>Оценка гематокрита</t>
  </si>
  <si>
    <t>12.1.12</t>
  </si>
  <si>
    <t>Исследование времени кровотечения (ДК) и свертываемости (ВСК)</t>
  </si>
  <si>
    <t>12.1.13</t>
  </si>
  <si>
    <t>Определение скорости оседания эритроцитов (СОЭ)</t>
  </si>
  <si>
    <t>12.2.    Исследование мочи</t>
  </si>
  <si>
    <t>12.2.1</t>
  </si>
  <si>
    <t>12.2.2</t>
  </si>
  <si>
    <t>12.2.3</t>
  </si>
  <si>
    <t>Исследование уровня креатинина в моче (проба Реберга)</t>
  </si>
  <si>
    <t>12.2.4</t>
  </si>
  <si>
    <t>Определение физических свойств мочи</t>
  </si>
  <si>
    <t>12.2.5</t>
  </si>
  <si>
    <t>Определение объема мочи</t>
  </si>
  <si>
    <t>12.2.6</t>
  </si>
  <si>
    <t>Определение удельного веса мочи</t>
  </si>
  <si>
    <t>12.2.7</t>
  </si>
  <si>
    <t>Определение белка в моче</t>
  </si>
  <si>
    <t>12.2.8</t>
  </si>
  <si>
    <t>Определение глюкозы в моче</t>
  </si>
  <si>
    <t>12.2.9</t>
  </si>
  <si>
    <t>Обнаружение в моче кетоновых тел</t>
  </si>
  <si>
    <t>12.2.10</t>
  </si>
  <si>
    <t>Микроскопическое исследование осадка мочи</t>
  </si>
  <si>
    <t>12.2.11</t>
  </si>
  <si>
    <t>Исследование на микроальбуминурию</t>
  </si>
  <si>
    <t>12.2.12</t>
  </si>
  <si>
    <t>Определение белка в суточной моче</t>
  </si>
  <si>
    <t>12.2.13</t>
  </si>
  <si>
    <t>Исследование мочи на микобактерии туберкулеза (МБТ)</t>
  </si>
  <si>
    <t>12.2.14</t>
  </si>
  <si>
    <t>12.3.   Исследование кала</t>
  </si>
  <si>
    <t>12.3.1</t>
  </si>
  <si>
    <t>12.3.2</t>
  </si>
  <si>
    <t>Исследование физических свойств кала</t>
  </si>
  <si>
    <t>12.3.3</t>
  </si>
  <si>
    <t>Микроскопическое исследование кала на простейшие</t>
  </si>
  <si>
    <t>12.3.4</t>
  </si>
  <si>
    <t>12.3.5</t>
  </si>
  <si>
    <t>Исследование кала на простейшие и яйца глистов, личинки гельминтов</t>
  </si>
  <si>
    <t>12.3.6</t>
  </si>
  <si>
    <t>12.4.   Исследование мокроты</t>
  </si>
  <si>
    <t>12.4.1</t>
  </si>
  <si>
    <t>Общее исследование мокроты</t>
  </si>
  <si>
    <t>12.4.2</t>
  </si>
  <si>
    <t>Определение физических свойств мокроты</t>
  </si>
  <si>
    <t>12.4.3</t>
  </si>
  <si>
    <t>Определение химических свойств мокроты</t>
  </si>
  <si>
    <t>12.4.4</t>
  </si>
  <si>
    <t>Микроскопическое исследование нативного и окрашенного препарата мокроты</t>
  </si>
  <si>
    <t>12.4.5</t>
  </si>
  <si>
    <t>Микроскопическое исследование мазков мокроты на микобактерии туберкулеза (МБТ)</t>
  </si>
  <si>
    <t>12.5.  Клинические исследования</t>
  </si>
  <si>
    <t>12.5.1</t>
  </si>
  <si>
    <t>12.5.2</t>
  </si>
  <si>
    <t>Микроскопическое исследование отделяемого женских органов на гонококк</t>
  </si>
  <si>
    <t>12.5.3</t>
  </si>
  <si>
    <t>Микроскопическое исследование отделяемого женских органов на бледную трепонему</t>
  </si>
  <si>
    <t>12.5.4</t>
  </si>
  <si>
    <t>Цитологическое исследование отделяемого женских органов на атипические клетки (АК)</t>
  </si>
  <si>
    <t>12.5.5</t>
  </si>
  <si>
    <t>12.6.  Серологические исследования</t>
  </si>
  <si>
    <t>12.6.1</t>
  </si>
  <si>
    <t>12.6.2</t>
  </si>
  <si>
    <t>12.6.3</t>
  </si>
  <si>
    <t>ЭДС (экспресс диагностика сифилиса)</t>
  </si>
  <si>
    <t>12.6.4</t>
  </si>
  <si>
    <t>ИФА на сифилис (иммуноферментный анализ)</t>
  </si>
  <si>
    <t>12.6.5</t>
  </si>
  <si>
    <t>12.7.   Биохимические исследования</t>
  </si>
  <si>
    <t>12.7.1</t>
  </si>
  <si>
    <t>Биохимический общетерапевтический анализ крови (9 показателей)</t>
  </si>
  <si>
    <t>12.7.2</t>
  </si>
  <si>
    <t>Определение крови на сахар</t>
  </si>
  <si>
    <t>12.7.3</t>
  </si>
  <si>
    <t>12.7.4</t>
  </si>
  <si>
    <t>12.7.5</t>
  </si>
  <si>
    <t>12.7.6</t>
  </si>
  <si>
    <t>12.7.7</t>
  </si>
  <si>
    <t>12.7.8</t>
  </si>
  <si>
    <t>12.7.9</t>
  </si>
  <si>
    <t>12.7.10</t>
  </si>
  <si>
    <t>12.7.11</t>
  </si>
  <si>
    <t>Определение билирубина общего</t>
  </si>
  <si>
    <t>12.7.12</t>
  </si>
  <si>
    <t>12.7.13</t>
  </si>
  <si>
    <t>12.7.14</t>
  </si>
  <si>
    <t>Определение щелочной фосфатазы (ЩФ)</t>
  </si>
  <si>
    <t>12.7.15</t>
  </si>
  <si>
    <t>12.7.16</t>
  </si>
  <si>
    <t>Определение лактатдегидрогеназы (ЛДГ)</t>
  </si>
  <si>
    <t>12.7.17</t>
  </si>
  <si>
    <t>12.7.18</t>
  </si>
  <si>
    <t>Определение гамма-глютаминтрансферазы (ГГТ)</t>
  </si>
  <si>
    <t>12.7.19</t>
  </si>
  <si>
    <t>12.7.20</t>
  </si>
  <si>
    <t>Определение липидопротеидов низкой плотности (ЛПНП)</t>
  </si>
  <si>
    <t>12.7.21</t>
  </si>
  <si>
    <t>Определение липидопротеидов высокой плотности (ЛПВП)</t>
  </si>
  <si>
    <t>12.7.22</t>
  </si>
  <si>
    <t>Определение триглицеридов (ТГ)</t>
  </si>
  <si>
    <t>12.7.23</t>
  </si>
  <si>
    <t>12.7.24</t>
  </si>
  <si>
    <t>12.7.25</t>
  </si>
  <si>
    <t>12.7.26</t>
  </si>
  <si>
    <t>12.7.27</t>
  </si>
  <si>
    <t>12.7.28</t>
  </si>
  <si>
    <t>Коагулограмма (исследование системы гемостаза)</t>
  </si>
  <si>
    <t>12.7.29</t>
  </si>
  <si>
    <t>12.7.30</t>
  </si>
  <si>
    <t>12.7.31</t>
  </si>
  <si>
    <t>Протромбиновое время (индекс) ПТВ, ПТН</t>
  </si>
  <si>
    <t>12.7.32</t>
  </si>
  <si>
    <t>12.7.33</t>
  </si>
  <si>
    <t>Определение серомукоида</t>
  </si>
  <si>
    <t>12.7.34</t>
  </si>
  <si>
    <t>Определение сиаловых кислот</t>
  </si>
  <si>
    <t>12.7.35</t>
  </si>
  <si>
    <t>Ревмопробы</t>
  </si>
  <si>
    <t>12.7.36</t>
  </si>
  <si>
    <t>Определение активированного частичного тромбопластинового времени (АЧТВ)</t>
  </si>
  <si>
    <t>13.  Услуги лаборатории (ИФА)</t>
  </si>
  <si>
    <t>13.1</t>
  </si>
  <si>
    <t>13.2</t>
  </si>
  <si>
    <t>Потверждение наличия антител классов M, G, IgG к вирусу гепатита С  в крови</t>
  </si>
  <si>
    <t>13.3</t>
  </si>
  <si>
    <t>13.4</t>
  </si>
  <si>
    <t>Потверждение наличия антигена к вирусу гепатита В (НbsAg Hepatitis B virus) в крови</t>
  </si>
  <si>
    <t>13.5</t>
  </si>
  <si>
    <t>Определение антител и антигена  к вирусу иммунодефицита человека ВИЧ-1, 2 в крови</t>
  </si>
  <si>
    <t>13.6</t>
  </si>
  <si>
    <t>Определение суммарных антител к бледной трепонеме (Treponema pallidum) в крови  на сифилис</t>
  </si>
  <si>
    <t>13.7</t>
  </si>
  <si>
    <t>13.8</t>
  </si>
  <si>
    <t>13.9</t>
  </si>
  <si>
    <t>Определение иммуноглобулинов класса G к антигенам Fscaris Lumbricoioies аскариды в крови</t>
  </si>
  <si>
    <t>13.10</t>
  </si>
  <si>
    <t>13.11</t>
  </si>
  <si>
    <t>13.12</t>
  </si>
  <si>
    <t>13.13</t>
  </si>
  <si>
    <t>13.14</t>
  </si>
  <si>
    <t>Определение  Ig M к вирусу клещевого энцефалита в крови (ВКЭ)</t>
  </si>
  <si>
    <t>13.15</t>
  </si>
  <si>
    <t>Определение  Ig G к вирусу клещевого энцефалита в крови (ВКЭ)</t>
  </si>
  <si>
    <t>13.16</t>
  </si>
  <si>
    <t>Определение  Ig M к вирусу клещевого боррелиоза в крови (ВКЭ)</t>
  </si>
  <si>
    <t>13.17</t>
  </si>
  <si>
    <t>Определение  Ig G к вирусу клещевого боррелиоза в крови (ВКЭ)</t>
  </si>
  <si>
    <t>13.18</t>
  </si>
  <si>
    <t>Исследование уровня тиреотропного гормона (ТТГ) в крови</t>
  </si>
  <si>
    <t>13.19</t>
  </si>
  <si>
    <t>13.20</t>
  </si>
  <si>
    <t>Исследование уровня общего тироксина (Т4) сыворотки крови</t>
  </si>
  <si>
    <t>13.21</t>
  </si>
  <si>
    <t>13.22</t>
  </si>
  <si>
    <t>13.23</t>
  </si>
  <si>
    <t>13.24</t>
  </si>
  <si>
    <t>13.25</t>
  </si>
  <si>
    <t>13.26</t>
  </si>
  <si>
    <t>13.27</t>
  </si>
  <si>
    <t>13.28</t>
  </si>
  <si>
    <t>13.29</t>
  </si>
  <si>
    <t>13.30</t>
  </si>
  <si>
    <t>13.31</t>
  </si>
  <si>
    <t>13.32</t>
  </si>
  <si>
    <t>13.33</t>
  </si>
  <si>
    <t>13.34</t>
  </si>
  <si>
    <t>13.35</t>
  </si>
  <si>
    <t>13.36</t>
  </si>
  <si>
    <t>13.37</t>
  </si>
  <si>
    <t xml:space="preserve"> Определение онкомаркеров в крови</t>
  </si>
  <si>
    <t>13.37.1</t>
  </si>
  <si>
    <t>13.37.2</t>
  </si>
  <si>
    <t>Исследование уровня общего ПСА в крови</t>
  </si>
  <si>
    <t>13.37.3</t>
  </si>
  <si>
    <t>Исследование уровня свободной фракции ПСА в крови</t>
  </si>
  <si>
    <t>13.37.4</t>
  </si>
  <si>
    <t>13.37.5</t>
  </si>
  <si>
    <t>Исследование уровня АФП альфа-фетопроротеина (беременность, печень) в крови</t>
  </si>
  <si>
    <t>13.37.6</t>
  </si>
  <si>
    <t>13.37.7</t>
  </si>
  <si>
    <t>13.37.8</t>
  </si>
  <si>
    <t>Исследование уровня  СА - 15-3 в крови</t>
  </si>
  <si>
    <t>13.37.9</t>
  </si>
  <si>
    <t>Исследование уровня  CYFRA - 21-1 в крови</t>
  </si>
  <si>
    <t>13.37.10</t>
  </si>
  <si>
    <t>Исследование уровня  ферритина в крови</t>
  </si>
  <si>
    <t>13.37.11</t>
  </si>
  <si>
    <t>Определение антител к ХГЧ (хроническому гонадотропину) в крови</t>
  </si>
  <si>
    <t>14. Услуги лаборатории клинической бактериологии</t>
  </si>
  <si>
    <t>14.1</t>
  </si>
  <si>
    <t>14.2</t>
  </si>
  <si>
    <t>14.3</t>
  </si>
  <si>
    <t>14.4</t>
  </si>
  <si>
    <t>14.5</t>
  </si>
  <si>
    <t>14.6</t>
  </si>
  <si>
    <t>Микробиологическое исследование крови на облигатные анаэробные микроорганизмы (серологическое обследование на брюшной тиф)</t>
  </si>
  <si>
    <t>14.7</t>
  </si>
  <si>
    <t>14.8</t>
  </si>
  <si>
    <t>14.9</t>
  </si>
  <si>
    <t>14.10</t>
  </si>
  <si>
    <t>14.11</t>
  </si>
  <si>
    <t>14.12</t>
  </si>
  <si>
    <t>14.13</t>
  </si>
  <si>
    <t>14.14</t>
  </si>
  <si>
    <t>14.15</t>
  </si>
  <si>
    <t>14.16</t>
  </si>
  <si>
    <t>14.17</t>
  </si>
  <si>
    <t>14.18</t>
  </si>
  <si>
    <t>14.19</t>
  </si>
  <si>
    <t>14.20</t>
  </si>
  <si>
    <t>14.21</t>
  </si>
  <si>
    <t>14.22</t>
  </si>
  <si>
    <t>14.23</t>
  </si>
  <si>
    <t>14.24</t>
  </si>
  <si>
    <t>14.25</t>
  </si>
  <si>
    <t>14.26</t>
  </si>
  <si>
    <t>14.27</t>
  </si>
  <si>
    <t>14.28</t>
  </si>
  <si>
    <t>14.29</t>
  </si>
  <si>
    <t>14.30</t>
  </si>
  <si>
    <t>14.31</t>
  </si>
  <si>
    <t>Бактериологическое исследование отделяемого мазка из  зева и носа на патогенный стафилококк</t>
  </si>
  <si>
    <t>14.32</t>
  </si>
  <si>
    <t>14.33</t>
  </si>
  <si>
    <t>14.34</t>
  </si>
  <si>
    <t>14.35</t>
  </si>
  <si>
    <t>14.36</t>
  </si>
  <si>
    <t>14.37</t>
  </si>
  <si>
    <t>14.38</t>
  </si>
  <si>
    <t>14.39</t>
  </si>
  <si>
    <t>14.40</t>
  </si>
  <si>
    <t>14.41</t>
  </si>
  <si>
    <t>14.42</t>
  </si>
  <si>
    <t>14.43</t>
  </si>
  <si>
    <t>14.44</t>
  </si>
  <si>
    <t>14.45</t>
  </si>
  <si>
    <t>14.46</t>
  </si>
  <si>
    <t>14.47</t>
  </si>
  <si>
    <t>Бактериологическое исследование на носительство кишечных инфекций</t>
  </si>
  <si>
    <t>14.48</t>
  </si>
  <si>
    <t>14.49</t>
  </si>
  <si>
    <t>14.50</t>
  </si>
  <si>
    <t>14.51</t>
  </si>
  <si>
    <t>14.52</t>
  </si>
  <si>
    <t>14.53</t>
  </si>
  <si>
    <t>14.54</t>
  </si>
  <si>
    <t>15. Услуги наркологического кабинета.</t>
  </si>
  <si>
    <t>15.1</t>
  </si>
  <si>
    <t>15.2</t>
  </si>
  <si>
    <t>15.3</t>
  </si>
  <si>
    <t>15.4</t>
  </si>
  <si>
    <t>15.5</t>
  </si>
  <si>
    <t>Определение карбогидрат-дефицитного трансферрина (CDT) в сыворотке крови методом капиллярного электрофореза)</t>
  </si>
  <si>
    <t>15.6</t>
  </si>
  <si>
    <t>15.6.1</t>
  </si>
  <si>
    <t>Исследование уровня лекарственных средств и их метаболитов в моче:                                                                                                                                                                                                                                                                               - на алкоголь</t>
  </si>
  <si>
    <t>15.6.2</t>
  </si>
  <si>
    <t>Исследование уровня лекарственных средств и их метаболитов в моче:                                                                                                                                                                                                                                                                               - поиск наркотических и психоактивных веществ</t>
  </si>
  <si>
    <t>15.6.3</t>
  </si>
  <si>
    <t>Исследование уровня лекарственных средств и их метаболитов в моче:                                                                                                                                                                                                                                                                               - исследование на наркотическое вещество (1 вид)</t>
  </si>
  <si>
    <t>15.6.4</t>
  </si>
  <si>
    <t>Исследование уровня лекарственных средств и их метаболитов в моче:                                                                                                                                                                                                                                                                               - исследование на никотин</t>
  </si>
  <si>
    <t>15.7</t>
  </si>
  <si>
    <t>Углубленное медицинское освидетельствование на наличие наркотического опьянения в крови:</t>
  </si>
  <si>
    <t>15.7.1</t>
  </si>
  <si>
    <t>Исследование уровня эталона в сыворотке крови</t>
  </si>
  <si>
    <t>16. Услуги процедурного кабинета.</t>
  </si>
  <si>
    <t>16.1</t>
  </si>
  <si>
    <t>16.2</t>
  </si>
  <si>
    <t>16.3</t>
  </si>
  <si>
    <t>16.4</t>
  </si>
  <si>
    <t>17. Паталогоанатомическое отделение</t>
  </si>
  <si>
    <t>17.1</t>
  </si>
  <si>
    <t>17.2</t>
  </si>
  <si>
    <t>17.3</t>
  </si>
  <si>
    <t>18. Прочие услуги</t>
  </si>
  <si>
    <t>18.1</t>
  </si>
  <si>
    <t>18.2</t>
  </si>
  <si>
    <t>Предоставление госпитализированным гражданам услуг с элементами повышенной сервисности ( телевизор,  холодильник) в отдельной палате.  ) 1 койко -день.</t>
  </si>
  <si>
    <t>18.3</t>
  </si>
  <si>
    <t>18.4</t>
  </si>
  <si>
    <t>19. Транспортировка  больного в порядке личной инициативе родственников (стоимость зависит от фактических затрат и км.)**</t>
  </si>
  <si>
    <t>19.1</t>
  </si>
  <si>
    <t>19.2</t>
  </si>
  <si>
    <t>19.3</t>
  </si>
  <si>
    <t>с.Михайловка</t>
  </si>
  <si>
    <t>19.4</t>
  </si>
  <si>
    <t>19.5</t>
  </si>
  <si>
    <t>19.6</t>
  </si>
  <si>
    <t>20. Медицинские осмотры</t>
  </si>
  <si>
    <t>20.1</t>
  </si>
  <si>
    <t>Медицинский осмотр на право управления транспортными средствами (категории/подкатегории: А, А1, В, ВЕ, В1, М без клинических исследований)</t>
  </si>
  <si>
    <t>20.2</t>
  </si>
  <si>
    <t>Медицинский осмотр на право управления транспортными средствами (категории/подкатегории: А, А1, В, ВЕ, В1, М с клиническими исследованиями)</t>
  </si>
  <si>
    <t>20.3</t>
  </si>
  <si>
    <t>Медицинский осмотр на право управления транспортными средствами (категории/подкатегории: C, D, CE, DE, Tm, Tb, C1, D1, C1E, D1E  без клинических исследований)</t>
  </si>
  <si>
    <t>20.4</t>
  </si>
  <si>
    <t>Медицинский осмотр на право управления транспортными средствами (категории/подкатегории: C, D, CE, DE, Tm, Tb, C1, D1, C1E, D1E с клиническими исследованиями)</t>
  </si>
  <si>
    <t>20.5</t>
  </si>
  <si>
    <t>Клинические исследования для обязательного медицинского освидетельствования водителей транспортных средств (кандидатов в водители транспортных средств)</t>
  </si>
  <si>
    <t>20.6</t>
  </si>
  <si>
    <t>20.7</t>
  </si>
  <si>
    <t>20.8</t>
  </si>
  <si>
    <t>Медицинское освидетельствование граждан для получения вида на жительство</t>
  </si>
  <si>
    <t>Государственная пошлина</t>
  </si>
  <si>
    <t>Марка транспортного средства  УАЗ (6единицы)</t>
  </si>
  <si>
    <t>Марка транспортного средства  УАЗ (5 единицы)</t>
  </si>
  <si>
    <t>Марка транспортного средства  Фиат Дукато                                 (2 единицы)</t>
  </si>
  <si>
    <t>Марка транспортного средства  Ниссан Эльгранд                       (1 единица)</t>
  </si>
  <si>
    <t>Марка транспортного средства  Тойота "Ленд Крузер"                  (1 единица)</t>
  </si>
  <si>
    <t>35</t>
  </si>
  <si>
    <t>Зуб пластмассовый в базис протеза</t>
  </si>
  <si>
    <t>5.41</t>
  </si>
  <si>
    <t>Кламмер</t>
  </si>
  <si>
    <t>Микроскопическое исследование кала на яйца глистов / Энтеробиоз</t>
  </si>
  <si>
    <r>
      <t xml:space="preserve">*   </t>
    </r>
    <r>
      <rPr>
        <sz val="10"/>
        <color indexed="8"/>
        <rFont val="Times New Roman"/>
        <family val="1"/>
        <charset val="204"/>
      </rPr>
      <t>стоимость расчитывается согласно КМУ, по тарифам ОМС.</t>
    </r>
  </si>
  <si>
    <t>** в зависимости от стоимости ГСМ</t>
  </si>
  <si>
    <t>V. Справочная информация</t>
  </si>
  <si>
    <t>Объем публичных обязательств, всего:</t>
  </si>
  <si>
    <t>Объем бюджетных инвестиций               (в части переданных полномочий государственного заказчика в соответствии с Бюджетным кодексом Российской Федерации), всего</t>
  </si>
  <si>
    <t xml:space="preserve">                                             </t>
  </si>
  <si>
    <t>И.о. директора департамента здравоохранения</t>
  </si>
  <si>
    <t>__________________  Т.Л. Курченко</t>
  </si>
  <si>
    <t xml:space="preserve">Главный бухгалтер </t>
  </si>
  <si>
    <t>Зубченко Н.В.</t>
  </si>
  <si>
    <t>Главный бухгалтер краевого государственного бюджетного учреждения</t>
  </si>
  <si>
    <t>_______________ Н.В. Зубченко</t>
  </si>
  <si>
    <t>________________К.Н. Залуцкая</t>
  </si>
  <si>
    <t>Залуцкая К.Н.</t>
  </si>
  <si>
    <t>Холодильники, кондиционеры, мебель, техника</t>
  </si>
  <si>
    <t>Врио главного врача КГБУЗ "Черниговская ЦРБ"                              К.Н. Залуцкая</t>
  </si>
  <si>
    <t xml:space="preserve">Исполнитель                                                                                            ________________А.А. Скрыпник </t>
  </si>
  <si>
    <t>на каждую дату корректировки ПФХД остаток должен быть 0</t>
  </si>
  <si>
    <t>09 января 2019  г.</t>
  </si>
  <si>
    <t>на 2019  год</t>
  </si>
  <si>
    <t>и на плановый период 2020 и 2021 годов</t>
  </si>
  <si>
    <t>09.01.2019</t>
  </si>
  <si>
    <t>на 01 января 2019 года</t>
  </si>
  <si>
    <t>IV.Сведения о средствах, поступающих во временное распоряжение учреждения (подразделения)на 2019 год.</t>
  </si>
  <si>
    <t>"09" января 2019  г.</t>
  </si>
  <si>
    <t>на 09.01.2019г.</t>
  </si>
  <si>
    <t>на 2019г. очередной финансовый год</t>
  </si>
  <si>
    <t>на 2020г. 1-ый год планового периода</t>
  </si>
  <si>
    <t>на 2021г. 2-й год планового периода</t>
  </si>
  <si>
    <t>на 2021г. 2-ой год планового периода</t>
  </si>
  <si>
    <t>100</t>
  </si>
  <si>
    <t>242</t>
  </si>
  <si>
    <t>Техническое обслуживание прочего оборудования и инвентаря</t>
  </si>
  <si>
    <t>1288,27</t>
  </si>
  <si>
    <t>Организация питания</t>
  </si>
  <si>
    <t>Поставка автомобильных запасных частей</t>
  </si>
  <si>
    <t>Поставка хозяйственных товаров</t>
  </si>
  <si>
    <t>Поставка спецпитания</t>
  </si>
  <si>
    <t>Поставка запасных частей для медицинского оборудования</t>
  </si>
  <si>
    <t>237</t>
  </si>
  <si>
    <t>7</t>
  </si>
  <si>
    <t>Поставка хозяйственных товаров, в т.ч. медицинская одежда</t>
  </si>
  <si>
    <t>"____" января 2019г.</t>
  </si>
  <si>
    <r>
      <t xml:space="preserve">III.I. Показатели выплат по расходам на закупку товаров, работ, услуг учреждения (подразделения) на </t>
    </r>
    <r>
      <rPr>
        <b/>
        <sz val="11"/>
        <color rgb="FFFF0000"/>
        <rFont val="Times New Roman"/>
        <family val="1"/>
        <charset val="204"/>
      </rPr>
      <t>09.01.2019 год</t>
    </r>
  </si>
  <si>
    <t>Сумма (тыс.руб)</t>
  </si>
  <si>
    <r>
      <t xml:space="preserve">III. Показатели по поступлениям и выплатам учреждения (подразделения) </t>
    </r>
    <r>
      <rPr>
        <sz val="11"/>
        <color rgb="FFFF0000"/>
        <rFont val="Times New Roman"/>
        <family val="1"/>
        <charset val="204"/>
      </rPr>
      <t>на 09.01.2019 год</t>
    </r>
  </si>
</sst>
</file>

<file path=xl/styles.xml><?xml version="1.0" encoding="utf-8"?>
<styleSheet xmlns="http://schemas.openxmlformats.org/spreadsheetml/2006/main">
  <numFmts count="2">
    <numFmt numFmtId="164" formatCode="0.0"/>
    <numFmt numFmtId="165" formatCode="0.0%"/>
  </numFmts>
  <fonts count="60">
    <font>
      <sz val="11"/>
      <color theme="1"/>
      <name val="Calibri"/>
      <family val="2"/>
      <charset val="204"/>
      <scheme val="minor"/>
    </font>
    <font>
      <sz val="12"/>
      <color theme="1"/>
      <name val="Times New Roman"/>
      <family val="1"/>
      <charset val="204"/>
    </font>
    <font>
      <sz val="7"/>
      <color theme="1"/>
      <name val="Calibri"/>
      <family val="2"/>
      <charset val="204"/>
      <scheme val="minor"/>
    </font>
    <font>
      <sz val="7"/>
      <color theme="1"/>
      <name val="Times New Roman"/>
      <family val="1"/>
      <charset val="204"/>
    </font>
    <font>
      <sz val="5"/>
      <color theme="1"/>
      <name val="Calibri"/>
      <family val="2"/>
      <charset val="204"/>
      <scheme val="minor"/>
    </font>
    <font>
      <sz val="5"/>
      <color theme="1"/>
      <name val="Times New Roman"/>
      <family val="1"/>
      <charset val="204"/>
    </font>
    <font>
      <sz val="6"/>
      <color theme="1"/>
      <name val="Times New Roman"/>
      <family val="1"/>
      <charset val="204"/>
    </font>
    <font>
      <sz val="11"/>
      <color theme="1"/>
      <name val="Times New Roman"/>
      <family val="1"/>
      <charset val="204"/>
    </font>
    <font>
      <sz val="8"/>
      <color theme="1"/>
      <name val="Times New Roman"/>
      <family val="1"/>
      <charset val="204"/>
    </font>
    <font>
      <b/>
      <sz val="8"/>
      <color theme="1"/>
      <name val="Times New Roman"/>
      <family val="1"/>
      <charset val="204"/>
    </font>
    <font>
      <b/>
      <sz val="12"/>
      <color theme="1"/>
      <name val="Times New Roman"/>
      <family val="1"/>
      <charset val="204"/>
    </font>
    <font>
      <b/>
      <sz val="11"/>
      <color theme="1"/>
      <name val="Times New Roman"/>
      <family val="1"/>
      <charset val="204"/>
    </font>
    <font>
      <sz val="12"/>
      <name val="Times New Roman"/>
      <family val="1"/>
      <charset val="204"/>
    </font>
    <font>
      <sz val="8"/>
      <color theme="1"/>
      <name val="Calibri"/>
      <family val="2"/>
      <charset val="204"/>
      <scheme val="minor"/>
    </font>
    <font>
      <sz val="9"/>
      <color theme="1"/>
      <name val="Times New Roman"/>
      <family val="1"/>
      <charset val="204"/>
    </font>
    <font>
      <b/>
      <sz val="11"/>
      <color theme="1"/>
      <name val="Calibri"/>
      <family val="2"/>
      <charset val="204"/>
      <scheme val="minor"/>
    </font>
    <font>
      <b/>
      <sz val="9"/>
      <color theme="1"/>
      <name val="Times New Roman"/>
      <family val="1"/>
      <charset val="204"/>
    </font>
    <font>
      <sz val="12"/>
      <name val="Times New Roman"/>
      <family val="1"/>
    </font>
    <font>
      <sz val="10"/>
      <name val="Arial"/>
      <family val="2"/>
      <charset val="204"/>
    </font>
    <font>
      <sz val="10"/>
      <name val="Times New Roman"/>
      <family val="1"/>
    </font>
    <font>
      <sz val="8"/>
      <name val="Times New Roman"/>
      <family val="1"/>
    </font>
    <font>
      <sz val="6"/>
      <name val="Times New Roman"/>
      <family val="1"/>
      <charset val="204"/>
    </font>
    <font>
      <sz val="6"/>
      <name val="Times New Roman"/>
      <family val="1"/>
    </font>
    <font>
      <sz val="6"/>
      <color theme="1"/>
      <name val="Calibri"/>
      <family val="2"/>
      <charset val="204"/>
      <scheme val="minor"/>
    </font>
    <font>
      <b/>
      <sz val="12"/>
      <name val="Times New Roman"/>
      <family val="1"/>
      <charset val="204"/>
    </font>
    <font>
      <sz val="10"/>
      <name val="Times New Roman"/>
      <family val="1"/>
      <charset val="204"/>
    </font>
    <font>
      <b/>
      <sz val="10"/>
      <name val="Times New Roman"/>
      <family val="1"/>
      <charset val="204"/>
    </font>
    <font>
      <sz val="9"/>
      <name val="Times New Roman"/>
      <family val="1"/>
      <charset val="204"/>
    </font>
    <font>
      <sz val="11"/>
      <name val="Calibri"/>
      <family val="2"/>
      <charset val="204"/>
      <scheme val="minor"/>
    </font>
    <font>
      <b/>
      <sz val="8"/>
      <name val="Times New Roman"/>
      <family val="1"/>
      <charset val="204"/>
    </font>
    <font>
      <sz val="8"/>
      <name val="Times New Roman"/>
      <family val="1"/>
      <charset val="204"/>
    </font>
    <font>
      <sz val="8"/>
      <color indexed="8"/>
      <name val="Times New Roman"/>
      <family val="1"/>
      <charset val="204"/>
    </font>
    <font>
      <b/>
      <sz val="6"/>
      <name val="Times New Roman"/>
      <family val="1"/>
      <charset val="204"/>
    </font>
    <font>
      <sz val="10"/>
      <color indexed="8"/>
      <name val="Times New Roman"/>
      <family val="1"/>
      <charset val="204"/>
    </font>
    <font>
      <b/>
      <sz val="14"/>
      <color indexed="8"/>
      <name val="Times New Roman"/>
      <family val="1"/>
      <charset val="204"/>
    </font>
    <font>
      <sz val="10"/>
      <name val="Arial Cyr"/>
      <charset val="204"/>
    </font>
    <font>
      <sz val="10"/>
      <color theme="1"/>
      <name val="Times New Roman"/>
      <family val="1"/>
      <charset val="204"/>
    </font>
    <font>
      <b/>
      <sz val="13"/>
      <name val="Times New Roman"/>
      <family val="1"/>
    </font>
    <font>
      <sz val="13"/>
      <name val="Times New Roman"/>
      <family val="1"/>
    </font>
    <font>
      <sz val="10"/>
      <name val="Courier New"/>
      <family val="3"/>
    </font>
    <font>
      <b/>
      <u/>
      <sz val="14"/>
      <name val="Times New Roman"/>
      <family val="1"/>
    </font>
    <font>
      <b/>
      <sz val="14"/>
      <name val="Times New Roman"/>
      <family val="1"/>
    </font>
    <font>
      <u/>
      <sz val="10"/>
      <color indexed="12"/>
      <name val="Arial"/>
      <family val="2"/>
      <charset val="204"/>
    </font>
    <font>
      <b/>
      <sz val="12"/>
      <name val="Times New Roman"/>
      <family val="1"/>
    </font>
    <font>
      <sz val="10"/>
      <color rgb="FFFF0000"/>
      <name val="Times New Roman"/>
      <family val="1"/>
      <charset val="204"/>
    </font>
    <font>
      <sz val="11"/>
      <color rgb="FFFF0000"/>
      <name val="Calibri"/>
      <family val="2"/>
      <charset val="204"/>
      <scheme val="minor"/>
    </font>
    <font>
      <b/>
      <sz val="6"/>
      <color theme="1"/>
      <name val="Times New Roman"/>
      <family val="1"/>
      <charset val="204"/>
    </font>
    <font>
      <b/>
      <sz val="10"/>
      <color theme="1"/>
      <name val="Times New Roman"/>
      <family val="1"/>
      <charset val="204"/>
    </font>
    <font>
      <sz val="10"/>
      <color theme="1"/>
      <name val="Calibri"/>
      <family val="2"/>
      <charset val="204"/>
      <scheme val="minor"/>
    </font>
    <font>
      <sz val="9"/>
      <color rgb="FFFF0000"/>
      <name val="Times New Roman"/>
      <family val="1"/>
      <charset val="204"/>
    </font>
    <font>
      <sz val="11"/>
      <color theme="1"/>
      <name val="Arial"/>
      <family val="2"/>
      <charset val="204"/>
    </font>
    <font>
      <sz val="11"/>
      <color indexed="8"/>
      <name val="Times New Roman"/>
      <family val="1"/>
      <charset val="204"/>
    </font>
    <font>
      <b/>
      <sz val="11"/>
      <color theme="1"/>
      <name val="Arial"/>
      <family val="2"/>
      <charset val="204"/>
    </font>
    <font>
      <sz val="11"/>
      <name val="Times New Roman"/>
      <family val="1"/>
      <charset val="204"/>
    </font>
    <font>
      <sz val="11"/>
      <color rgb="FFFF0000"/>
      <name val="Times New Roman"/>
      <family val="1"/>
      <charset val="204"/>
    </font>
    <font>
      <sz val="8"/>
      <color rgb="FFFF0000"/>
      <name val="Times New Roman"/>
      <family val="1"/>
    </font>
    <font>
      <b/>
      <sz val="11"/>
      <color rgb="FFFF0000"/>
      <name val="Times New Roman"/>
      <family val="1"/>
      <charset val="204"/>
    </font>
    <font>
      <b/>
      <sz val="12"/>
      <color rgb="FFFF0000"/>
      <name val="Times New Roman"/>
      <family val="1"/>
    </font>
    <font>
      <sz val="11"/>
      <name val="Times New Roman"/>
      <family val="1"/>
    </font>
    <font>
      <sz val="11"/>
      <color theme="1"/>
      <name val="Times New Roman"/>
      <family val="1"/>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xf numFmtId="0" fontId="35" fillId="0" borderId="0"/>
    <xf numFmtId="0" fontId="42" fillId="0" borderId="0" applyNumberFormat="0" applyFill="0" applyBorder="0" applyAlignment="0" applyProtection="0">
      <alignment vertical="top"/>
      <protection locked="0"/>
    </xf>
  </cellStyleXfs>
  <cellXfs count="396">
    <xf numFmtId="0" fontId="0" fillId="0" borderId="0" xfId="0"/>
    <xf numFmtId="0" fontId="4" fillId="0" borderId="1" xfId="0" applyFont="1" applyBorder="1" applyAlignment="1">
      <alignment horizontal="center"/>
    </xf>
    <xf numFmtId="0" fontId="3" fillId="0" borderId="1" xfId="0" applyFont="1" applyBorder="1" applyAlignment="1">
      <alignment horizontal="center" wrapText="1"/>
    </xf>
    <xf numFmtId="0" fontId="5" fillId="0" borderId="1" xfId="0" applyFont="1" applyBorder="1" applyAlignment="1">
      <alignment horizontal="center"/>
    </xf>
    <xf numFmtId="0" fontId="1" fillId="0" borderId="1" xfId="0" applyFont="1" applyBorder="1" applyAlignment="1">
      <alignment horizontal="center"/>
    </xf>
    <xf numFmtId="0" fontId="1" fillId="0" borderId="1" xfId="0" applyFont="1" applyBorder="1"/>
    <xf numFmtId="0" fontId="1" fillId="0" borderId="1" xfId="0" applyFont="1" applyBorder="1" applyAlignment="1">
      <alignment wrapText="1"/>
    </xf>
    <xf numFmtId="0" fontId="1" fillId="0" borderId="1" xfId="0" applyFont="1" applyBorder="1" applyAlignment="1">
      <alignment horizontal="left" wrapText="1"/>
    </xf>
    <xf numFmtId="49" fontId="1" fillId="0" borderId="1" xfId="0" applyNumberFormat="1" applyFont="1" applyBorder="1" applyAlignment="1">
      <alignment horizontal="center"/>
    </xf>
    <xf numFmtId="2" fontId="1" fillId="0" borderId="1" xfId="0" applyNumberFormat="1" applyFont="1" applyBorder="1" applyAlignment="1">
      <alignment horizontal="center"/>
    </xf>
    <xf numFmtId="0" fontId="2" fillId="0" borderId="1" xfId="0" applyFont="1" applyBorder="1" applyAlignment="1">
      <alignment horizontal="center" wrapText="1"/>
    </xf>
    <xf numFmtId="2" fontId="1" fillId="0" borderId="1" xfId="0" applyNumberFormat="1" applyFont="1" applyBorder="1"/>
    <xf numFmtId="0" fontId="7" fillId="0" borderId="0" xfId="0" applyFont="1"/>
    <xf numFmtId="0" fontId="1" fillId="0" borderId="0" xfId="0" applyFont="1"/>
    <xf numFmtId="0" fontId="9" fillId="0" borderId="1" xfId="0" applyFont="1" applyBorder="1" applyAlignment="1">
      <alignment horizontal="center" wrapText="1"/>
    </xf>
    <xf numFmtId="0" fontId="7" fillId="0" borderId="1" xfId="0" applyFont="1" applyBorder="1" applyAlignment="1">
      <alignment horizontal="center"/>
    </xf>
    <xf numFmtId="0" fontId="7" fillId="0" borderId="1" xfId="0" applyFont="1" applyBorder="1"/>
    <xf numFmtId="0" fontId="7" fillId="0" borderId="1" xfId="0" applyFont="1" applyFill="1" applyBorder="1"/>
    <xf numFmtId="0" fontId="7" fillId="0" borderId="1" xfId="0" applyFont="1" applyBorder="1" applyAlignment="1">
      <alignment wrapText="1"/>
    </xf>
    <xf numFmtId="2" fontId="7" fillId="0" borderId="1" xfId="0" applyNumberFormat="1" applyFont="1" applyBorder="1" applyAlignment="1">
      <alignment horizontal="center"/>
    </xf>
    <xf numFmtId="0" fontId="7" fillId="0" borderId="1" xfId="0" applyFont="1" applyFill="1" applyBorder="1" applyAlignment="1">
      <alignment wrapText="1"/>
    </xf>
    <xf numFmtId="0" fontId="12" fillId="0" borderId="0" xfId="0" applyFont="1" applyFill="1"/>
    <xf numFmtId="2" fontId="1" fillId="0" borderId="1" xfId="0" applyNumberFormat="1" applyFont="1" applyFill="1" applyBorder="1" applyAlignment="1">
      <alignment horizontal="center"/>
    </xf>
    <xf numFmtId="0" fontId="13" fillId="0" borderId="0" xfId="0" applyFont="1"/>
    <xf numFmtId="0" fontId="1" fillId="0" borderId="1" xfId="0" applyNumberFormat="1" applyFont="1" applyBorder="1"/>
    <xf numFmtId="49" fontId="1" fillId="0" borderId="1" xfId="0" applyNumberFormat="1" applyFont="1" applyBorder="1"/>
    <xf numFmtId="164" fontId="1" fillId="0" borderId="0" xfId="0" applyNumberFormat="1" applyFont="1"/>
    <xf numFmtId="164" fontId="9" fillId="0" borderId="1" xfId="0" applyNumberFormat="1" applyFont="1" applyBorder="1" applyAlignment="1">
      <alignment horizontal="center" wrapText="1"/>
    </xf>
    <xf numFmtId="164" fontId="8" fillId="0" borderId="1" xfId="0" applyNumberFormat="1" applyFont="1" applyBorder="1" applyAlignment="1">
      <alignment horizontal="center"/>
    </xf>
    <xf numFmtId="164" fontId="1" fillId="0" borderId="1" xfId="0" applyNumberFormat="1" applyFont="1" applyFill="1" applyBorder="1" applyAlignment="1">
      <alignment horizontal="center"/>
    </xf>
    <xf numFmtId="0" fontId="10" fillId="0" borderId="1" xfId="0" applyNumberFormat="1" applyFont="1" applyBorder="1" applyAlignment="1">
      <alignment horizontal="center"/>
    </xf>
    <xf numFmtId="0" fontId="10" fillId="0" borderId="1" xfId="0" applyFont="1" applyBorder="1" applyAlignment="1">
      <alignment horizontal="left"/>
    </xf>
    <xf numFmtId="0" fontId="10" fillId="0" borderId="1" xfId="0" applyFont="1" applyBorder="1" applyAlignment="1">
      <alignment horizontal="center"/>
    </xf>
    <xf numFmtId="164" fontId="10" fillId="0" borderId="1" xfId="0" applyNumberFormat="1" applyFont="1" applyBorder="1" applyAlignment="1">
      <alignment horizontal="center"/>
    </xf>
    <xf numFmtId="2" fontId="10" fillId="0" borderId="1" xfId="0" applyNumberFormat="1" applyFont="1" applyBorder="1" applyAlignment="1">
      <alignment horizontal="center"/>
    </xf>
    <xf numFmtId="0" fontId="10" fillId="0" borderId="1" xfId="0" applyFont="1" applyBorder="1"/>
    <xf numFmtId="2" fontId="10" fillId="0" borderId="1" xfId="0" applyNumberFormat="1" applyFont="1" applyFill="1" applyBorder="1" applyAlignment="1">
      <alignment horizontal="center"/>
    </xf>
    <xf numFmtId="164" fontId="10" fillId="0" borderId="1" xfId="0" applyNumberFormat="1" applyFont="1" applyFill="1" applyBorder="1" applyAlignment="1">
      <alignment horizontal="center"/>
    </xf>
    <xf numFmtId="0" fontId="10" fillId="0" borderId="1" xfId="0" applyNumberFormat="1" applyFont="1" applyBorder="1"/>
    <xf numFmtId="0" fontId="10" fillId="0" borderId="0" xfId="0" applyFont="1" applyAlignment="1">
      <alignment wrapText="1"/>
    </xf>
    <xf numFmtId="49" fontId="10" fillId="0" borderId="1" xfId="0" applyNumberFormat="1" applyFont="1" applyBorder="1" applyAlignment="1">
      <alignment horizontal="center"/>
    </xf>
    <xf numFmtId="0" fontId="10" fillId="0" borderId="1" xfId="0" applyFont="1" applyBorder="1" applyAlignment="1">
      <alignment wrapText="1"/>
    </xf>
    <xf numFmtId="49" fontId="3" fillId="0" borderId="1" xfId="0" applyNumberFormat="1" applyFont="1" applyBorder="1" applyAlignment="1">
      <alignment horizontal="center"/>
    </xf>
    <xf numFmtId="0" fontId="8" fillId="0" borderId="1" xfId="0" applyFont="1" applyBorder="1" applyAlignment="1">
      <alignment wrapText="1"/>
    </xf>
    <xf numFmtId="0" fontId="0" fillId="0" borderId="1" xfId="0" applyBorder="1"/>
    <xf numFmtId="0" fontId="2" fillId="0" borderId="1" xfId="0" applyFont="1" applyBorder="1" applyAlignment="1">
      <alignment horizontal="center"/>
    </xf>
    <xf numFmtId="0" fontId="14" fillId="0" borderId="1" xfId="0" applyFont="1" applyBorder="1" applyAlignment="1">
      <alignment horizontal="center"/>
    </xf>
    <xf numFmtId="0" fontId="14" fillId="0" borderId="1" xfId="0" applyFont="1" applyBorder="1" applyAlignment="1">
      <alignment horizontal="center" wrapText="1"/>
    </xf>
    <xf numFmtId="49" fontId="10" fillId="0" borderId="1" xfId="0" applyNumberFormat="1" applyFont="1" applyFill="1" applyBorder="1" applyAlignment="1">
      <alignment horizontal="center"/>
    </xf>
    <xf numFmtId="0" fontId="10" fillId="0" borderId="1" xfId="0" applyFont="1" applyFill="1" applyBorder="1" applyAlignment="1">
      <alignment wrapText="1"/>
    </xf>
    <xf numFmtId="0" fontId="0" fillId="0" borderId="0" xfId="0" applyFill="1"/>
    <xf numFmtId="0" fontId="15" fillId="0" borderId="1" xfId="0" applyFont="1" applyBorder="1"/>
    <xf numFmtId="0" fontId="15" fillId="0" borderId="1" xfId="0" applyFont="1" applyBorder="1" applyAlignment="1">
      <alignment horizontal="center"/>
    </xf>
    <xf numFmtId="2" fontId="15" fillId="0" borderId="1" xfId="0" applyNumberFormat="1" applyFont="1" applyBorder="1" applyAlignment="1">
      <alignment horizontal="center"/>
    </xf>
    <xf numFmtId="0" fontId="2" fillId="0" borderId="0" xfId="0" applyFont="1"/>
    <xf numFmtId="0" fontId="3" fillId="0" borderId="1" xfId="0" applyFont="1" applyBorder="1" applyAlignment="1">
      <alignment horizontal="center"/>
    </xf>
    <xf numFmtId="0" fontId="15" fillId="0" borderId="0" xfId="0" applyFont="1" applyAlignment="1">
      <alignment horizontal="center"/>
    </xf>
    <xf numFmtId="0" fontId="3" fillId="0" borderId="0" xfId="0" applyFont="1" applyAlignment="1">
      <alignment horizontal="center"/>
    </xf>
    <xf numFmtId="0" fontId="3" fillId="0" borderId="0" xfId="0" applyFont="1" applyAlignment="1">
      <alignment horizontal="center" wrapText="1"/>
    </xf>
    <xf numFmtId="0" fontId="10" fillId="0" borderId="0" xfId="0" applyFont="1"/>
    <xf numFmtId="0" fontId="1" fillId="0" borderId="1" xfId="0" applyFont="1" applyBorder="1" applyAlignment="1">
      <alignment horizontal="left"/>
    </xf>
    <xf numFmtId="49" fontId="1" fillId="0" borderId="1" xfId="0" applyNumberFormat="1" applyFont="1" applyBorder="1" applyAlignment="1">
      <alignment horizontal="left"/>
    </xf>
    <xf numFmtId="2" fontId="10" fillId="0" borderId="1" xfId="0" applyNumberFormat="1" applyFont="1" applyBorder="1"/>
    <xf numFmtId="49" fontId="1" fillId="0" borderId="1" xfId="0" applyNumberFormat="1" applyFont="1" applyBorder="1" applyAlignment="1">
      <alignment horizontal="left" wrapText="1"/>
    </xf>
    <xf numFmtId="165" fontId="1" fillId="0" borderId="0" xfId="0" applyNumberFormat="1" applyFont="1"/>
    <xf numFmtId="165" fontId="8" fillId="0" borderId="1" xfId="0" applyNumberFormat="1" applyFont="1" applyBorder="1" applyAlignment="1">
      <alignment horizontal="center" wrapText="1"/>
    </xf>
    <xf numFmtId="165" fontId="1" fillId="0" borderId="1" xfId="0" applyNumberFormat="1" applyFont="1" applyBorder="1" applyAlignment="1">
      <alignment horizontal="center"/>
    </xf>
    <xf numFmtId="49" fontId="10" fillId="0" borderId="1" xfId="0" applyNumberFormat="1" applyFont="1" applyBorder="1" applyAlignment="1">
      <alignment horizontal="left"/>
    </xf>
    <xf numFmtId="165" fontId="10" fillId="0" borderId="1" xfId="0" applyNumberFormat="1" applyFont="1" applyBorder="1" applyAlignment="1">
      <alignment horizontal="center"/>
    </xf>
    <xf numFmtId="0" fontId="11" fillId="0" borderId="1" xfId="0" applyFont="1" applyBorder="1"/>
    <xf numFmtId="0" fontId="11" fillId="0" borderId="1" xfId="0" applyFont="1" applyBorder="1" applyAlignment="1">
      <alignment horizontal="left"/>
    </xf>
    <xf numFmtId="0" fontId="11" fillId="0" borderId="1" xfId="0" applyFont="1" applyBorder="1" applyAlignment="1">
      <alignment horizontal="center"/>
    </xf>
    <xf numFmtId="2" fontId="11" fillId="0" borderId="1" xfId="0" applyNumberFormat="1" applyFont="1" applyBorder="1" applyAlignment="1">
      <alignment horizontal="center"/>
    </xf>
    <xf numFmtId="0" fontId="7" fillId="0" borderId="1" xfId="0" applyFont="1" applyFill="1" applyBorder="1" applyAlignment="1">
      <alignment horizontal="center"/>
    </xf>
    <xf numFmtId="2" fontId="7" fillId="0" borderId="1" xfId="0" applyNumberFormat="1" applyFont="1" applyFill="1" applyBorder="1" applyAlignment="1">
      <alignment horizontal="center"/>
    </xf>
    <xf numFmtId="0" fontId="7" fillId="0" borderId="0" xfId="0" applyFont="1" applyAlignment="1">
      <alignment horizontal="center"/>
    </xf>
    <xf numFmtId="49" fontId="7" fillId="0" borderId="1" xfId="0" applyNumberFormat="1" applyFont="1" applyFill="1" applyBorder="1" applyAlignment="1">
      <alignment horizontal="right"/>
    </xf>
    <xf numFmtId="49" fontId="7" fillId="0" borderId="1" xfId="0" applyNumberFormat="1" applyFont="1" applyBorder="1" applyAlignment="1">
      <alignment horizontal="center"/>
    </xf>
    <xf numFmtId="0" fontId="7" fillId="2" borderId="1" xfId="0" applyFont="1" applyFill="1" applyBorder="1" applyAlignment="1">
      <alignment horizontal="center"/>
    </xf>
    <xf numFmtId="0" fontId="7" fillId="2" borderId="1" xfId="0" applyFont="1" applyFill="1" applyBorder="1" applyAlignment="1">
      <alignment wrapText="1"/>
    </xf>
    <xf numFmtId="2" fontId="7" fillId="2" borderId="1" xfId="0" applyNumberFormat="1" applyFont="1" applyFill="1" applyBorder="1" applyAlignment="1">
      <alignment horizontal="center"/>
    </xf>
    <xf numFmtId="49" fontId="7" fillId="0" borderId="1" xfId="0" applyNumberFormat="1" applyFont="1" applyFill="1" applyBorder="1" applyAlignment="1">
      <alignment horizontal="center"/>
    </xf>
    <xf numFmtId="0" fontId="7" fillId="2" borderId="1" xfId="0" applyFont="1" applyFill="1" applyBorder="1"/>
    <xf numFmtId="49" fontId="7" fillId="0" borderId="1" xfId="0" applyNumberFormat="1" applyFont="1" applyBorder="1" applyAlignment="1">
      <alignment horizontal="right"/>
    </xf>
    <xf numFmtId="2" fontId="0" fillId="0" borderId="0" xfId="0" applyNumberFormat="1"/>
    <xf numFmtId="0" fontId="3" fillId="0" borderId="1" xfId="0" applyFont="1" applyBorder="1" applyAlignment="1">
      <alignment horizontal="center" wrapText="1"/>
    </xf>
    <xf numFmtId="0" fontId="3" fillId="0" borderId="1" xfId="0" applyFont="1" applyBorder="1" applyAlignment="1">
      <alignment horizontal="center"/>
    </xf>
    <xf numFmtId="0" fontId="7" fillId="0" borderId="0" xfId="0" applyFont="1" applyAlignment="1">
      <alignment wrapText="1"/>
    </xf>
    <xf numFmtId="0" fontId="14" fillId="0" borderId="1" xfId="0" applyFont="1" applyBorder="1" applyAlignment="1">
      <alignment wrapText="1"/>
    </xf>
    <xf numFmtId="0" fontId="16" fillId="0" borderId="1" xfId="0" applyFont="1" applyBorder="1" applyAlignment="1">
      <alignment wrapText="1"/>
    </xf>
    <xf numFmtId="0" fontId="16" fillId="0" borderId="1" xfId="0" applyFont="1" applyBorder="1" applyAlignment="1">
      <alignment horizontal="center"/>
    </xf>
    <xf numFmtId="0" fontId="0" fillId="0" borderId="0" xfId="0" applyAlignment="1">
      <alignment wrapText="1"/>
    </xf>
    <xf numFmtId="0" fontId="13" fillId="0" borderId="0" xfId="0" applyFont="1" applyAlignment="1">
      <alignment horizontal="center" wrapText="1"/>
    </xf>
    <xf numFmtId="0" fontId="13" fillId="0" borderId="0" xfId="0" applyFont="1" applyAlignment="1">
      <alignment horizontal="center"/>
    </xf>
    <xf numFmtId="49" fontId="0" fillId="0" borderId="0" xfId="0" applyNumberFormat="1"/>
    <xf numFmtId="0" fontId="17" fillId="0" borderId="0" xfId="0" applyFont="1"/>
    <xf numFmtId="0" fontId="18" fillId="0" borderId="0" xfId="0" applyFont="1"/>
    <xf numFmtId="0" fontId="19" fillId="0" borderId="0" xfId="0" applyFont="1"/>
    <xf numFmtId="0" fontId="20" fillId="0" borderId="0" xfId="0" applyFont="1"/>
    <xf numFmtId="0" fontId="12" fillId="0" borderId="0" xfId="0" applyFont="1"/>
    <xf numFmtId="0" fontId="6" fillId="0" borderId="0" xfId="0" applyFont="1"/>
    <xf numFmtId="0" fontId="21" fillId="0" borderId="0" xfId="0" applyFont="1" applyAlignment="1">
      <alignment horizontal="center"/>
    </xf>
    <xf numFmtId="0" fontId="6" fillId="0" borderId="0" xfId="0" applyFont="1" applyAlignment="1">
      <alignment horizontal="center"/>
    </xf>
    <xf numFmtId="0" fontId="21" fillId="0" borderId="0" xfId="0" applyFont="1" applyAlignment="1">
      <alignment horizontal="left"/>
    </xf>
    <xf numFmtId="0" fontId="22" fillId="0" borderId="0" xfId="0" applyFont="1"/>
    <xf numFmtId="0" fontId="23" fillId="0" borderId="0" xfId="0" applyFont="1" applyAlignment="1">
      <alignment horizontal="center"/>
    </xf>
    <xf numFmtId="2" fontId="8" fillId="0" borderId="1" xfId="0" applyNumberFormat="1" applyFont="1" applyBorder="1" applyAlignment="1">
      <alignment horizontal="center" wrapText="1"/>
    </xf>
    <xf numFmtId="2" fontId="7" fillId="0" borderId="0" xfId="0" applyNumberFormat="1" applyFont="1" applyAlignment="1">
      <alignment horizontal="center"/>
    </xf>
    <xf numFmtId="49" fontId="8" fillId="0" borderId="1" xfId="0" applyNumberFormat="1" applyFont="1" applyBorder="1" applyAlignment="1">
      <alignment horizontal="center" wrapText="1"/>
    </xf>
    <xf numFmtId="49" fontId="8" fillId="0" borderId="1" xfId="0" applyNumberFormat="1" applyFont="1" applyBorder="1" applyAlignment="1">
      <alignment horizontal="center"/>
    </xf>
    <xf numFmtId="49" fontId="13" fillId="0" borderId="0" xfId="0" applyNumberFormat="1" applyFont="1" applyAlignment="1">
      <alignment horizontal="center"/>
    </xf>
    <xf numFmtId="0" fontId="24" fillId="0" borderId="0" xfId="0" applyFont="1" applyAlignment="1">
      <alignment horizontal="left"/>
    </xf>
    <xf numFmtId="0" fontId="25" fillId="0" borderId="0" xfId="0" applyFont="1"/>
    <xf numFmtId="0" fontId="26" fillId="0" borderId="0" xfId="0" applyFont="1"/>
    <xf numFmtId="0" fontId="26" fillId="0" borderId="0" xfId="0" applyFont="1" applyAlignment="1">
      <alignment horizontal="center"/>
    </xf>
    <xf numFmtId="0" fontId="25" fillId="0" borderId="1" xfId="0" applyFont="1" applyBorder="1" applyAlignment="1">
      <alignment horizontal="center" wrapText="1"/>
    </xf>
    <xf numFmtId="0" fontId="27" fillId="0" borderId="1" xfId="0" applyFont="1" applyBorder="1" applyAlignment="1">
      <alignment vertical="top" wrapText="1"/>
    </xf>
    <xf numFmtId="0" fontId="25" fillId="0" borderId="1" xfId="0" applyFont="1" applyBorder="1" applyAlignment="1">
      <alignment horizontal="center" vertical="top" wrapText="1"/>
    </xf>
    <xf numFmtId="4" fontId="25" fillId="0" borderId="1" xfId="0" applyNumberFormat="1" applyFont="1" applyBorder="1" applyAlignment="1">
      <alignment horizontal="center" vertical="top" wrapText="1"/>
    </xf>
    <xf numFmtId="4" fontId="25" fillId="0" borderId="1" xfId="0" applyNumberFormat="1" applyFont="1" applyBorder="1"/>
    <xf numFmtId="4" fontId="25" fillId="0" borderId="1" xfId="0" applyNumberFormat="1" applyFont="1" applyFill="1" applyBorder="1" applyAlignment="1">
      <alignment horizontal="center" vertical="top" wrapText="1"/>
    </xf>
    <xf numFmtId="4" fontId="25" fillId="0" borderId="1" xfId="0" applyNumberFormat="1" applyFont="1" applyFill="1" applyBorder="1"/>
    <xf numFmtId="0" fontId="21" fillId="0" borderId="0" xfId="0" applyFont="1"/>
    <xf numFmtId="4" fontId="14" fillId="0" borderId="1" xfId="0" applyNumberFormat="1" applyFont="1" applyBorder="1" applyAlignment="1">
      <alignment horizontal="center"/>
    </xf>
    <xf numFmtId="4" fontId="16" fillId="0" borderId="1" xfId="0" applyNumberFormat="1" applyFont="1" applyBorder="1" applyAlignment="1">
      <alignment horizontal="center"/>
    </xf>
    <xf numFmtId="0" fontId="27" fillId="0" borderId="1" xfId="0" applyFont="1" applyFill="1" applyBorder="1" applyAlignment="1">
      <alignment vertical="top" wrapText="1"/>
    </xf>
    <xf numFmtId="0" fontId="25" fillId="0" borderId="1" xfId="0" applyFont="1" applyFill="1" applyBorder="1" applyAlignment="1">
      <alignment horizontal="center" vertical="top" wrapText="1"/>
    </xf>
    <xf numFmtId="0" fontId="28" fillId="0" borderId="0" xfId="0" applyFont="1" applyFill="1"/>
    <xf numFmtId="0" fontId="29" fillId="0" borderId="1" xfId="0" applyFont="1" applyBorder="1" applyAlignment="1">
      <alignment horizontal="center" vertical="center" wrapText="1"/>
    </xf>
    <xf numFmtId="0" fontId="30" fillId="0" borderId="1" xfId="0" applyFont="1" applyBorder="1" applyAlignment="1">
      <alignment horizontal="center" vertical="center" wrapText="1"/>
    </xf>
    <xf numFmtId="49" fontId="31" fillId="0" borderId="1" xfId="0" applyNumberFormat="1" applyFont="1" applyFill="1" applyBorder="1" applyAlignment="1" applyProtection="1">
      <alignment horizontal="center" vertical="center" wrapText="1"/>
    </xf>
    <xf numFmtId="0" fontId="32" fillId="0" borderId="0" xfId="0" applyFont="1"/>
    <xf numFmtId="0" fontId="23" fillId="0" borderId="0" xfId="0" applyFont="1"/>
    <xf numFmtId="0" fontId="0" fillId="3" borderId="0" xfId="0" applyFill="1"/>
    <xf numFmtId="0" fontId="0" fillId="3" borderId="0" xfId="0" applyFill="1" applyAlignment="1">
      <alignment wrapText="1"/>
    </xf>
    <xf numFmtId="0" fontId="19" fillId="0" borderId="0" xfId="0" applyFont="1" applyAlignment="1">
      <alignment horizontal="center"/>
    </xf>
    <xf numFmtId="0" fontId="19" fillId="0" borderId="0" xfId="0" applyFont="1" applyAlignment="1">
      <alignment horizontal="justify"/>
    </xf>
    <xf numFmtId="0" fontId="39" fillId="0" borderId="0" xfId="0" applyFont="1" applyBorder="1" applyAlignment="1">
      <alignment horizontal="right" wrapText="1"/>
    </xf>
    <xf numFmtId="0" fontId="17" fillId="0" borderId="0" xfId="0" applyFont="1" applyBorder="1" applyAlignment="1">
      <alignment horizontal="center" wrapText="1"/>
    </xf>
    <xf numFmtId="2" fontId="17" fillId="0" borderId="1" xfId="0" applyNumberFormat="1" applyFont="1" applyBorder="1" applyAlignment="1">
      <alignment horizontal="center" wrapText="1"/>
    </xf>
    <xf numFmtId="0" fontId="17" fillId="0" borderId="0" xfId="0" applyFont="1" applyBorder="1" applyAlignment="1">
      <alignment horizontal="right" wrapText="1"/>
    </xf>
    <xf numFmtId="1" fontId="39" fillId="0" borderId="1" xfId="0" applyNumberFormat="1" applyFont="1" applyBorder="1" applyAlignment="1">
      <alignment horizontal="center" wrapText="1"/>
    </xf>
    <xf numFmtId="0" fontId="39" fillId="0" borderId="0" xfId="0" applyFont="1" applyBorder="1" applyAlignment="1">
      <alignment horizontal="center" wrapText="1"/>
    </xf>
    <xf numFmtId="0" fontId="42" fillId="0" borderId="0" xfId="2" applyBorder="1" applyAlignment="1" applyProtection="1">
      <alignment horizontal="right" wrapText="1"/>
    </xf>
    <xf numFmtId="0" fontId="41" fillId="0" borderId="0" xfId="0" applyFont="1"/>
    <xf numFmtId="2" fontId="41" fillId="0" borderId="0" xfId="0" applyNumberFormat="1" applyFont="1"/>
    <xf numFmtId="0" fontId="17" fillId="0" borderId="0" xfId="0" applyFont="1" applyAlignment="1">
      <alignment horizontal="left" indent="3"/>
    </xf>
    <xf numFmtId="0" fontId="17" fillId="0" borderId="0" xfId="0" applyFont="1" applyAlignment="1">
      <alignment horizontal="justify"/>
    </xf>
    <xf numFmtId="2" fontId="17" fillId="0" borderId="0" xfId="0" applyNumberFormat="1" applyFont="1" applyAlignment="1">
      <alignment horizontal="justify"/>
    </xf>
    <xf numFmtId="2" fontId="17" fillId="0" borderId="1" xfId="0" applyNumberFormat="1" applyFont="1" applyBorder="1" applyAlignment="1">
      <alignment horizontal="center" vertical="top" wrapText="1"/>
    </xf>
    <xf numFmtId="0" fontId="17" fillId="0" borderId="0" xfId="0" applyFont="1" applyBorder="1" applyAlignment="1">
      <alignment vertical="top" wrapText="1"/>
    </xf>
    <xf numFmtId="2" fontId="39" fillId="0" borderId="0" xfId="0" applyNumberFormat="1" applyFont="1" applyBorder="1" applyAlignment="1">
      <alignment horizontal="center" vertical="top" wrapText="1"/>
    </xf>
    <xf numFmtId="4" fontId="17" fillId="0" borderId="1" xfId="0" applyNumberFormat="1" applyFont="1" applyBorder="1" applyAlignment="1">
      <alignment horizontal="center" vertical="top" wrapText="1"/>
    </xf>
    <xf numFmtId="4" fontId="12" fillId="0" borderId="1" xfId="0" applyNumberFormat="1" applyFont="1" applyBorder="1" applyAlignment="1">
      <alignment horizontal="center" vertical="top" wrapText="1"/>
    </xf>
    <xf numFmtId="4" fontId="39" fillId="0" borderId="1" xfId="0" applyNumberFormat="1" applyFont="1" applyBorder="1" applyAlignment="1">
      <alignment horizontal="center" vertical="top" wrapText="1"/>
    </xf>
    <xf numFmtId="0" fontId="43" fillId="0" borderId="0" xfId="0" applyFont="1" applyAlignment="1">
      <alignment horizontal="center"/>
    </xf>
    <xf numFmtId="0" fontId="17" fillId="0" borderId="0" xfId="0" applyFont="1" applyAlignment="1">
      <alignment horizontal="justify"/>
    </xf>
    <xf numFmtId="0" fontId="17" fillId="0" borderId="0" xfId="0" applyFont="1"/>
    <xf numFmtId="0" fontId="10" fillId="0" borderId="0" xfId="0" applyFont="1" applyAlignment="1">
      <alignment horizontal="left"/>
    </xf>
    <xf numFmtId="0" fontId="17" fillId="0" borderId="0" xfId="0" applyFont="1" applyBorder="1" applyAlignment="1">
      <alignment wrapText="1"/>
    </xf>
    <xf numFmtId="0" fontId="17" fillId="0" borderId="0" xfId="0" applyFont="1" applyBorder="1" applyAlignment="1">
      <alignment horizontal="left" wrapText="1"/>
    </xf>
    <xf numFmtId="1" fontId="39" fillId="0" borderId="1" xfId="0" applyNumberFormat="1" applyFont="1" applyBorder="1" applyAlignment="1">
      <alignment horizontal="left" wrapText="1"/>
    </xf>
    <xf numFmtId="0" fontId="0" fillId="0" borderId="0" xfId="0" applyAlignment="1">
      <alignment horizontal="left"/>
    </xf>
    <xf numFmtId="0" fontId="17" fillId="0" borderId="0" xfId="0" applyFont="1" applyAlignment="1">
      <alignment horizontal="left" wrapText="1"/>
    </xf>
    <xf numFmtId="0" fontId="12" fillId="0" borderId="0" xfId="0" applyFont="1" applyBorder="1" applyAlignment="1">
      <alignment horizontal="left" wrapText="1"/>
    </xf>
    <xf numFmtId="0" fontId="0" fillId="0" borderId="9" xfId="0" applyBorder="1" applyAlignment="1">
      <alignment horizontal="center"/>
    </xf>
    <xf numFmtId="4" fontId="12" fillId="2" borderId="1" xfId="0" applyNumberFormat="1" applyFont="1" applyFill="1" applyBorder="1" applyAlignment="1">
      <alignment horizontal="center" vertical="top" wrapText="1"/>
    </xf>
    <xf numFmtId="4" fontId="17" fillId="2" borderId="1" xfId="0" applyNumberFormat="1" applyFont="1" applyFill="1" applyBorder="1" applyAlignment="1">
      <alignment horizontal="center" vertical="top" wrapText="1"/>
    </xf>
    <xf numFmtId="0" fontId="1" fillId="3" borderId="0" xfId="0" applyFont="1" applyFill="1" applyBorder="1" applyAlignment="1">
      <alignment horizontal="right"/>
    </xf>
    <xf numFmtId="0" fontId="1" fillId="0" borderId="0" xfId="0" applyFont="1" applyAlignment="1">
      <alignment horizontal="center"/>
    </xf>
    <xf numFmtId="0" fontId="24" fillId="0" borderId="0" xfId="0" applyFont="1" applyFill="1"/>
    <xf numFmtId="0" fontId="1" fillId="0" borderId="0" xfId="0" applyFont="1" applyAlignment="1">
      <alignment horizontal="right"/>
    </xf>
    <xf numFmtId="4" fontId="14" fillId="0" borderId="1" xfId="0" applyNumberFormat="1" applyFont="1" applyFill="1" applyBorder="1" applyAlignment="1">
      <alignment horizontal="center"/>
    </xf>
    <xf numFmtId="0" fontId="14" fillId="0" borderId="1" xfId="0" applyFont="1" applyFill="1" applyBorder="1" applyAlignment="1">
      <alignment horizontal="center"/>
    </xf>
    <xf numFmtId="0" fontId="16" fillId="0" borderId="1" xfId="0" applyFont="1" applyFill="1" applyBorder="1" applyAlignment="1">
      <alignment wrapText="1"/>
    </xf>
    <xf numFmtId="0" fontId="16" fillId="0" borderId="1" xfId="0" applyFont="1" applyFill="1" applyBorder="1" applyAlignment="1">
      <alignment horizontal="center"/>
    </xf>
    <xf numFmtId="4" fontId="16" fillId="0" borderId="1" xfId="0" applyNumberFormat="1" applyFont="1" applyFill="1" applyBorder="1" applyAlignment="1">
      <alignment horizontal="center"/>
    </xf>
    <xf numFmtId="0" fontId="15" fillId="0" borderId="0" xfId="0" applyFont="1" applyFill="1"/>
    <xf numFmtId="0" fontId="14" fillId="0" borderId="1" xfId="0" applyFont="1" applyFill="1" applyBorder="1" applyAlignment="1">
      <alignment wrapText="1"/>
    </xf>
    <xf numFmtId="4" fontId="7" fillId="0" borderId="1" xfId="0" applyNumberFormat="1" applyFont="1" applyBorder="1" applyAlignment="1">
      <alignment horizontal="center"/>
    </xf>
    <xf numFmtId="0" fontId="3" fillId="0" borderId="1" xfId="0" applyFont="1" applyBorder="1" applyAlignment="1">
      <alignment horizontal="center" wrapText="1"/>
    </xf>
    <xf numFmtId="0" fontId="3" fillId="0" borderId="1" xfId="0" applyFont="1" applyBorder="1" applyAlignment="1">
      <alignment horizontal="center"/>
    </xf>
    <xf numFmtId="0" fontId="8" fillId="0" borderId="1" xfId="0" applyFont="1" applyBorder="1" applyAlignment="1">
      <alignment horizontal="center" wrapText="1"/>
    </xf>
    <xf numFmtId="0" fontId="7" fillId="0" borderId="0" xfId="0" applyFont="1" applyAlignment="1">
      <alignment horizontal="center"/>
    </xf>
    <xf numFmtId="0" fontId="8" fillId="0" borderId="1" xfId="0" applyFont="1" applyBorder="1" applyAlignment="1">
      <alignment horizontal="center"/>
    </xf>
    <xf numFmtId="0" fontId="6" fillId="0" borderId="1" xfId="0" applyFont="1" applyBorder="1" applyAlignment="1">
      <alignment wrapText="1"/>
    </xf>
    <xf numFmtId="4" fontId="16" fillId="0" borderId="1" xfId="0" applyNumberFormat="1" applyFont="1" applyBorder="1" applyAlignment="1"/>
    <xf numFmtId="0" fontId="17" fillId="0" borderId="0" xfId="0" applyFont="1" applyAlignment="1">
      <alignment wrapText="1"/>
    </xf>
    <xf numFmtId="0" fontId="39" fillId="0" borderId="0" xfId="0" applyFont="1" applyAlignment="1">
      <alignment wrapText="1"/>
    </xf>
    <xf numFmtId="0" fontId="17" fillId="0" borderId="0" xfId="0" applyFont="1" applyAlignment="1">
      <alignment horizontal="center"/>
    </xf>
    <xf numFmtId="1" fontId="12" fillId="0" borderId="1" xfId="0" applyNumberFormat="1" applyFont="1" applyBorder="1" applyAlignment="1">
      <alignment horizontal="left" wrapText="1"/>
    </xf>
    <xf numFmtId="1" fontId="12" fillId="0" borderId="1" xfId="0" applyNumberFormat="1" applyFont="1" applyBorder="1" applyAlignment="1">
      <alignment horizontal="right" wrapText="1"/>
    </xf>
    <xf numFmtId="4" fontId="27" fillId="0" borderId="1" xfId="0" applyNumberFormat="1" applyFont="1" applyFill="1" applyBorder="1" applyAlignment="1">
      <alignment horizontal="center"/>
    </xf>
    <xf numFmtId="0" fontId="22" fillId="0" borderId="0" xfId="0" applyFont="1" applyFill="1" applyAlignment="1">
      <alignment horizontal="center"/>
    </xf>
    <xf numFmtId="0" fontId="23" fillId="0" borderId="0" xfId="0" applyFont="1" applyFill="1"/>
    <xf numFmtId="2" fontId="23" fillId="0" borderId="0" xfId="0" applyNumberFormat="1" applyFont="1" applyFill="1"/>
    <xf numFmtId="0" fontId="38" fillId="0" borderId="0" xfId="0" applyFont="1" applyFill="1" applyAlignment="1">
      <alignment horizontal="center"/>
    </xf>
    <xf numFmtId="0" fontId="17" fillId="0" borderId="0" xfId="0" applyFont="1" applyFill="1" applyBorder="1" applyAlignment="1">
      <alignment horizontal="right" wrapText="1"/>
    </xf>
    <xf numFmtId="49" fontId="12" fillId="0" borderId="1" xfId="0" applyNumberFormat="1" applyFont="1" applyFill="1" applyBorder="1" applyAlignment="1">
      <alignment horizontal="center" wrapText="1"/>
    </xf>
    <xf numFmtId="0" fontId="10" fillId="0" borderId="0" xfId="0" applyFont="1" applyAlignment="1">
      <alignment horizontal="center"/>
    </xf>
    <xf numFmtId="0" fontId="8" fillId="0" borderId="1" xfId="0" applyFont="1" applyBorder="1" applyAlignment="1">
      <alignment horizontal="center" wrapText="1"/>
    </xf>
    <xf numFmtId="0" fontId="7" fillId="0" borderId="0" xfId="0" applyFont="1" applyAlignment="1">
      <alignment horizontal="center"/>
    </xf>
    <xf numFmtId="0" fontId="8" fillId="0" borderId="1" xfId="0" applyFont="1" applyBorder="1" applyAlignment="1">
      <alignment horizontal="center"/>
    </xf>
    <xf numFmtId="4" fontId="44" fillId="0" borderId="1" xfId="0" applyNumberFormat="1" applyFont="1" applyFill="1" applyBorder="1" applyAlignment="1">
      <alignment horizontal="center" vertical="top" wrapText="1"/>
    </xf>
    <xf numFmtId="4" fontId="44" fillId="0" borderId="1" xfId="0" applyNumberFormat="1" applyFont="1" applyBorder="1" applyAlignment="1">
      <alignment horizontal="center" vertical="top" wrapText="1"/>
    </xf>
    <xf numFmtId="0" fontId="45" fillId="0" borderId="0" xfId="0" applyFont="1"/>
    <xf numFmtId="0" fontId="10" fillId="0" borderId="0" xfId="0" applyFont="1" applyBorder="1" applyAlignment="1">
      <alignment horizontal="center"/>
    </xf>
    <xf numFmtId="0" fontId="10" fillId="0" borderId="0" xfId="0" applyFont="1" applyBorder="1" applyAlignment="1">
      <alignment horizontal="left"/>
    </xf>
    <xf numFmtId="2" fontId="10" fillId="0" borderId="0" xfId="0" applyNumberFormat="1" applyFont="1" applyBorder="1" applyAlignment="1">
      <alignment horizontal="center"/>
    </xf>
    <xf numFmtId="0" fontId="0" fillId="0" borderId="0" xfId="0" applyBorder="1"/>
    <xf numFmtId="0" fontId="15" fillId="0" borderId="0" xfId="0" applyFont="1" applyBorder="1"/>
    <xf numFmtId="0" fontId="15" fillId="0" borderId="0" xfId="0" applyFont="1" applyBorder="1" applyAlignment="1">
      <alignment horizontal="center"/>
    </xf>
    <xf numFmtId="2" fontId="15" fillId="0" borderId="0" xfId="0" applyNumberFormat="1" applyFont="1" applyBorder="1" applyAlignment="1">
      <alignment horizontal="center"/>
    </xf>
    <xf numFmtId="0" fontId="10" fillId="0" borderId="0" xfId="0" applyFont="1" applyAlignment="1">
      <alignment horizontal="center"/>
    </xf>
    <xf numFmtId="0" fontId="3" fillId="0" borderId="1" xfId="0" applyFont="1" applyBorder="1" applyAlignment="1">
      <alignment horizontal="center" wrapText="1"/>
    </xf>
    <xf numFmtId="0" fontId="3" fillId="0" borderId="1" xfId="0" applyFont="1" applyBorder="1" applyAlignment="1">
      <alignment horizontal="center"/>
    </xf>
    <xf numFmtId="0" fontId="8" fillId="0" borderId="1" xfId="0" applyFont="1" applyBorder="1" applyAlignment="1">
      <alignment horizontal="center" wrapText="1"/>
    </xf>
    <xf numFmtId="0" fontId="7" fillId="0" borderId="0" xfId="0" applyFont="1" applyAlignment="1">
      <alignment horizontal="center"/>
    </xf>
    <xf numFmtId="0" fontId="8" fillId="0" borderId="1" xfId="0" applyFont="1" applyBorder="1" applyAlignment="1">
      <alignment horizontal="center"/>
    </xf>
    <xf numFmtId="4" fontId="12" fillId="0" borderId="1" xfId="0" applyNumberFormat="1" applyFont="1" applyFill="1" applyBorder="1" applyAlignment="1">
      <alignment horizontal="center" vertical="top" wrapText="1"/>
    </xf>
    <xf numFmtId="0" fontId="3" fillId="0" borderId="1" xfId="0" applyFont="1" applyBorder="1" applyAlignment="1">
      <alignment horizontal="center" wrapText="1"/>
    </xf>
    <xf numFmtId="0" fontId="3" fillId="0" borderId="1" xfId="0" applyFont="1" applyBorder="1" applyAlignment="1">
      <alignment horizontal="center"/>
    </xf>
    <xf numFmtId="0" fontId="10" fillId="0" borderId="0" xfId="0" applyFont="1" applyAlignment="1">
      <alignment horizontal="center"/>
    </xf>
    <xf numFmtId="0" fontId="8" fillId="0" borderId="1" xfId="0" applyFont="1" applyBorder="1" applyAlignment="1">
      <alignment horizontal="center" wrapText="1"/>
    </xf>
    <xf numFmtId="0" fontId="7" fillId="0" borderId="0" xfId="0" applyFont="1" applyAlignment="1">
      <alignment horizontal="center"/>
    </xf>
    <xf numFmtId="0" fontId="8" fillId="0" borderId="1" xfId="0" applyFont="1" applyBorder="1" applyAlignment="1">
      <alignment horizontal="center"/>
    </xf>
    <xf numFmtId="0" fontId="1" fillId="0" borderId="0" xfId="0" applyFont="1" applyAlignment="1">
      <alignment horizontal="left"/>
    </xf>
    <xf numFmtId="0" fontId="14" fillId="0" borderId="1" xfId="0" applyFont="1" applyBorder="1"/>
    <xf numFmtId="164" fontId="1" fillId="0" borderId="1" xfId="0" applyNumberFormat="1" applyFont="1" applyBorder="1"/>
    <xf numFmtId="0" fontId="16" fillId="0" borderId="1" xfId="0" applyFont="1" applyBorder="1"/>
    <xf numFmtId="0" fontId="46" fillId="0" borderId="1" xfId="0" applyFont="1" applyBorder="1" applyAlignment="1">
      <alignment horizontal="center" wrapText="1"/>
    </xf>
    <xf numFmtId="164" fontId="46" fillId="0" borderId="1" xfId="0" applyNumberFormat="1" applyFont="1" applyBorder="1" applyAlignment="1">
      <alignment horizontal="center" wrapText="1"/>
    </xf>
    <xf numFmtId="0" fontId="1" fillId="0" borderId="0" xfId="0" applyFont="1" applyAlignment="1">
      <alignment horizontal="center"/>
    </xf>
    <xf numFmtId="0" fontId="14" fillId="0" borderId="1" xfId="0" applyFont="1" applyFill="1" applyBorder="1" applyAlignment="1">
      <alignment horizontal="center" wrapText="1"/>
    </xf>
    <xf numFmtId="0" fontId="16" fillId="0" borderId="1" xfId="0" applyFont="1" applyBorder="1" applyAlignment="1">
      <alignment horizontal="left"/>
    </xf>
    <xf numFmtId="0" fontId="23" fillId="0" borderId="1" xfId="0" applyFont="1" applyBorder="1" applyAlignment="1">
      <alignment horizontal="center" wrapText="1"/>
    </xf>
    <xf numFmtId="0" fontId="6" fillId="0" borderId="1" xfId="0" applyFont="1" applyBorder="1" applyAlignment="1">
      <alignment horizontal="center" wrapText="1"/>
    </xf>
    <xf numFmtId="0" fontId="48" fillId="0" borderId="0" xfId="0" applyFont="1"/>
    <xf numFmtId="0" fontId="47" fillId="0" borderId="1" xfId="0" applyFont="1" applyBorder="1" applyAlignment="1">
      <alignment horizontal="center"/>
    </xf>
    <xf numFmtId="0" fontId="47" fillId="0" borderId="0" xfId="0" applyFont="1" applyAlignment="1">
      <alignment wrapText="1"/>
    </xf>
    <xf numFmtId="2" fontId="47" fillId="0" borderId="1" xfId="0" applyNumberFormat="1" applyFont="1" applyBorder="1" applyAlignment="1">
      <alignment horizontal="center"/>
    </xf>
    <xf numFmtId="49" fontId="36" fillId="0" borderId="1" xfId="0" applyNumberFormat="1" applyFont="1" applyBorder="1" applyAlignment="1">
      <alignment horizontal="center"/>
    </xf>
    <xf numFmtId="0" fontId="36" fillId="0" borderId="1" xfId="0" applyFont="1" applyBorder="1" applyAlignment="1">
      <alignment horizontal="left" wrapText="1"/>
    </xf>
    <xf numFmtId="2" fontId="36" fillId="0" borderId="1" xfId="0" applyNumberFormat="1" applyFont="1" applyBorder="1" applyAlignment="1">
      <alignment horizontal="center"/>
    </xf>
    <xf numFmtId="0" fontId="36" fillId="0" borderId="1" xfId="0" applyFont="1" applyBorder="1" applyAlignment="1">
      <alignment wrapText="1"/>
    </xf>
    <xf numFmtId="49" fontId="47" fillId="0" borderId="1" xfId="0" applyNumberFormat="1" applyFont="1" applyBorder="1" applyAlignment="1">
      <alignment horizontal="center"/>
    </xf>
    <xf numFmtId="0" fontId="47" fillId="0" borderId="1" xfId="0" applyFont="1" applyBorder="1" applyAlignment="1">
      <alignment wrapText="1"/>
    </xf>
    <xf numFmtId="49" fontId="47" fillId="0" borderId="1" xfId="0" applyNumberFormat="1" applyFont="1" applyFill="1" applyBorder="1" applyAlignment="1">
      <alignment horizontal="center"/>
    </xf>
    <xf numFmtId="0" fontId="47" fillId="0" borderId="1" xfId="0" applyFont="1" applyFill="1" applyBorder="1" applyAlignment="1">
      <alignment wrapText="1"/>
    </xf>
    <xf numFmtId="2" fontId="47" fillId="0" borderId="1" xfId="0" applyNumberFormat="1" applyFont="1" applyFill="1" applyBorder="1" applyAlignment="1">
      <alignment horizontal="center"/>
    </xf>
    <xf numFmtId="0" fontId="48" fillId="0" borderId="0" xfId="0" applyFont="1" applyFill="1"/>
    <xf numFmtId="2" fontId="1" fillId="0" borderId="1" xfId="0" applyNumberFormat="1" applyFont="1" applyFill="1" applyBorder="1"/>
    <xf numFmtId="2" fontId="0" fillId="0" borderId="1" xfId="0" applyNumberFormat="1" applyBorder="1"/>
    <xf numFmtId="1" fontId="8" fillId="0" borderId="1" xfId="0" applyNumberFormat="1" applyFont="1" applyBorder="1" applyAlignment="1">
      <alignment horizontal="center"/>
    </xf>
    <xf numFmtId="49" fontId="36" fillId="0" borderId="1" xfId="0" applyNumberFormat="1" applyFont="1" applyBorder="1" applyAlignment="1">
      <alignment horizontal="left"/>
    </xf>
    <xf numFmtId="0" fontId="10" fillId="0" borderId="0" xfId="0" applyFont="1" applyBorder="1"/>
    <xf numFmtId="0" fontId="36" fillId="0" borderId="1" xfId="0" applyFont="1" applyFill="1" applyBorder="1" applyAlignment="1">
      <alignment wrapText="1"/>
    </xf>
    <xf numFmtId="4" fontId="49" fillId="0" borderId="1" xfId="0" applyNumberFormat="1" applyFont="1" applyFill="1" applyBorder="1" applyAlignment="1">
      <alignment horizontal="center"/>
    </xf>
    <xf numFmtId="49" fontId="24" fillId="0" borderId="10" xfId="0" applyNumberFormat="1" applyFont="1" applyBorder="1" applyAlignment="1">
      <alignment horizontal="center" vertical="top" wrapText="1"/>
    </xf>
    <xf numFmtId="0" fontId="10" fillId="0" borderId="11" xfId="0" applyFont="1" applyFill="1" applyBorder="1" applyAlignment="1">
      <alignment horizontal="center" vertical="top" wrapText="1"/>
    </xf>
    <xf numFmtId="0" fontId="0" fillId="0" borderId="12" xfId="0" applyBorder="1"/>
    <xf numFmtId="0" fontId="11" fillId="0" borderId="13" xfId="0" applyFont="1" applyFill="1" applyBorder="1" applyAlignment="1">
      <alignment horizontal="center" vertical="center" wrapText="1"/>
    </xf>
    <xf numFmtId="49" fontId="50" fillId="0" borderId="12" xfId="0" applyNumberFormat="1" applyFont="1" applyBorder="1" applyAlignment="1">
      <alignment horizontal="center" vertical="center"/>
    </xf>
    <xf numFmtId="0" fontId="7" fillId="0" borderId="13" xfId="0" applyFont="1" applyFill="1" applyBorder="1" applyAlignment="1">
      <alignment vertical="top" wrapText="1"/>
    </xf>
    <xf numFmtId="0" fontId="7" fillId="0" borderId="13" xfId="0" applyFont="1" applyFill="1" applyBorder="1" applyAlignment="1">
      <alignment horizontal="justify" vertical="top" wrapText="1"/>
    </xf>
    <xf numFmtId="0" fontId="7" fillId="0" borderId="13" xfId="0" applyFont="1" applyFill="1" applyBorder="1" applyAlignment="1">
      <alignment horizontal="left" vertical="top" wrapText="1"/>
    </xf>
    <xf numFmtId="0" fontId="7" fillId="0" borderId="13" xfId="0" applyFont="1" applyFill="1" applyBorder="1" applyAlignment="1">
      <alignment horizontal="left" vertical="center" wrapText="1"/>
    </xf>
    <xf numFmtId="0" fontId="7" fillId="0" borderId="13" xfId="1" applyFont="1" applyFill="1" applyBorder="1" applyAlignment="1">
      <alignment wrapText="1"/>
    </xf>
    <xf numFmtId="0" fontId="11" fillId="0" borderId="13" xfId="1" applyFont="1" applyFill="1" applyBorder="1" applyAlignment="1">
      <alignment horizontal="center" vertical="center" wrapText="1"/>
    </xf>
    <xf numFmtId="0" fontId="7" fillId="0" borderId="13" xfId="0" applyFont="1" applyFill="1" applyBorder="1" applyAlignment="1">
      <alignment horizontal="left" wrapText="1"/>
    </xf>
    <xf numFmtId="0" fontId="51" fillId="0" borderId="5" xfId="0" applyFont="1" applyFill="1" applyBorder="1" applyAlignment="1">
      <alignment vertical="center" wrapText="1"/>
    </xf>
    <xf numFmtId="49" fontId="52" fillId="0" borderId="12" xfId="0" applyNumberFormat="1" applyFont="1" applyBorder="1" applyAlignment="1">
      <alignment horizontal="center" vertical="center"/>
    </xf>
    <xf numFmtId="0" fontId="7" fillId="0" borderId="13" xfId="0" applyFont="1" applyFill="1" applyBorder="1" applyAlignment="1">
      <alignment vertical="center" wrapText="1"/>
    </xf>
    <xf numFmtId="0" fontId="11" fillId="0" borderId="13" xfId="0" applyFont="1" applyFill="1" applyBorder="1" applyAlignment="1">
      <alignment vertical="top" wrapText="1"/>
    </xf>
    <xf numFmtId="0" fontId="7" fillId="3" borderId="0" xfId="0" applyFont="1" applyFill="1" applyAlignment="1">
      <alignment wrapText="1"/>
    </xf>
    <xf numFmtId="2" fontId="7" fillId="0" borderId="1" xfId="0" applyNumberFormat="1" applyFont="1" applyBorder="1"/>
    <xf numFmtId="4" fontId="11" fillId="0" borderId="1" xfId="0" applyNumberFormat="1" applyFont="1" applyBorder="1" applyAlignment="1">
      <alignment horizontal="center"/>
    </xf>
    <xf numFmtId="4" fontId="0" fillId="0" borderId="1" xfId="0" applyNumberFormat="1" applyBorder="1"/>
    <xf numFmtId="4" fontId="47" fillId="0" borderId="1" xfId="0" applyNumberFormat="1" applyFont="1" applyBorder="1" applyAlignment="1">
      <alignment horizontal="center"/>
    </xf>
    <xf numFmtId="0" fontId="36" fillId="0" borderId="1" xfId="0" applyFont="1" applyFill="1" applyBorder="1"/>
    <xf numFmtId="0" fontId="36" fillId="0" borderId="0" xfId="0" applyFont="1" applyAlignment="1">
      <alignment horizontal="left" vertical="center"/>
    </xf>
    <xf numFmtId="0" fontId="36" fillId="0" borderId="0" xfId="0" applyFont="1" applyBorder="1" applyAlignment="1">
      <alignment vertical="center"/>
    </xf>
    <xf numFmtId="0" fontId="8" fillId="0" borderId="1" xfId="0" applyFont="1" applyBorder="1" applyAlignment="1">
      <alignment horizontal="center" wrapText="1"/>
    </xf>
    <xf numFmtId="0" fontId="21" fillId="0" borderId="0" xfId="0" applyFont="1" applyAlignment="1">
      <alignment horizontal="center"/>
    </xf>
    <xf numFmtId="0" fontId="6" fillId="0" borderId="1" xfId="0" applyFont="1" applyBorder="1" applyAlignment="1">
      <alignment horizontal="center"/>
    </xf>
    <xf numFmtId="0" fontId="6" fillId="0" borderId="2" xfId="0" applyFont="1" applyBorder="1" applyAlignment="1">
      <alignment horizontal="center"/>
    </xf>
    <xf numFmtId="0" fontId="53" fillId="0" borderId="1" xfId="0" applyFont="1" applyBorder="1" applyAlignment="1">
      <alignment vertical="top" wrapText="1"/>
    </xf>
    <xf numFmtId="49" fontId="53" fillId="0" borderId="1" xfId="0" applyNumberFormat="1" applyFont="1" applyBorder="1" applyAlignment="1">
      <alignment horizontal="center" wrapText="1"/>
    </xf>
    <xf numFmtId="0" fontId="53" fillId="0" borderId="1" xfId="2" applyFont="1" applyBorder="1" applyAlignment="1" applyProtection="1">
      <alignment vertical="top" wrapText="1"/>
    </xf>
    <xf numFmtId="0" fontId="53" fillId="0" borderId="0" xfId="0" applyFont="1"/>
    <xf numFmtId="0" fontId="7" fillId="0" borderId="0" xfId="0" applyFont="1" applyAlignment="1"/>
    <xf numFmtId="0" fontId="53" fillId="0" borderId="0" xfId="2" applyFont="1" applyBorder="1" applyAlignment="1" applyProtection="1">
      <alignment vertical="top" wrapText="1"/>
    </xf>
    <xf numFmtId="49" fontId="53" fillId="0" borderId="0" xfId="0" applyNumberFormat="1" applyFont="1" applyBorder="1" applyAlignment="1">
      <alignment horizontal="center" wrapText="1"/>
    </xf>
    <xf numFmtId="0" fontId="53" fillId="0" borderId="0" xfId="0" applyFont="1" applyBorder="1"/>
    <xf numFmtId="0" fontId="55" fillId="0" borderId="0" xfId="0" applyFont="1"/>
    <xf numFmtId="2" fontId="54" fillId="0" borderId="1" xfId="0" applyNumberFormat="1" applyFont="1" applyBorder="1" applyAlignment="1">
      <alignment horizontal="center"/>
    </xf>
    <xf numFmtId="0" fontId="44" fillId="0" borderId="0" xfId="0" applyFont="1" applyFill="1"/>
    <xf numFmtId="0" fontId="25" fillId="0" borderId="0" xfId="0" applyFont="1" applyAlignment="1">
      <alignment wrapText="1"/>
    </xf>
    <xf numFmtId="0" fontId="16" fillId="0" borderId="0" xfId="0" applyFont="1" applyAlignment="1">
      <alignment wrapText="1"/>
    </xf>
    <xf numFmtId="2" fontId="16" fillId="0" borderId="1" xfId="0" applyNumberFormat="1" applyFont="1" applyBorder="1" applyAlignment="1">
      <alignment horizontal="center"/>
    </xf>
    <xf numFmtId="0" fontId="58" fillId="0" borderId="0" xfId="0" applyFont="1"/>
    <xf numFmtId="0" fontId="59" fillId="0" borderId="0" xfId="0" applyFont="1"/>
    <xf numFmtId="4" fontId="44" fillId="0" borderId="1" xfId="0" applyNumberFormat="1" applyFont="1" applyFill="1" applyBorder="1"/>
    <xf numFmtId="2" fontId="53" fillId="0" borderId="6" xfId="0" applyNumberFormat="1" applyFont="1" applyBorder="1" applyAlignment="1">
      <alignment horizontal="center"/>
    </xf>
    <xf numFmtId="2" fontId="8" fillId="0" borderId="1" xfId="0" applyNumberFormat="1" applyFont="1" applyBorder="1" applyAlignment="1">
      <alignment horizontal="center" wrapText="1"/>
    </xf>
    <xf numFmtId="0" fontId="3" fillId="0" borderId="1" xfId="0" applyFont="1" applyBorder="1" applyAlignment="1">
      <alignment horizontal="center" wrapText="1"/>
    </xf>
    <xf numFmtId="0" fontId="3" fillId="0" borderId="1" xfId="0" applyFont="1" applyBorder="1" applyAlignment="1">
      <alignment horizontal="center"/>
    </xf>
    <xf numFmtId="0" fontId="36" fillId="0" borderId="1" xfId="0" applyFont="1" applyBorder="1"/>
    <xf numFmtId="2" fontId="10" fillId="0" borderId="0" xfId="0" applyNumberFormat="1" applyFont="1" applyBorder="1"/>
    <xf numFmtId="0" fontId="11" fillId="0" borderId="0" xfId="0" applyFont="1" applyBorder="1" applyAlignment="1">
      <alignment horizontal="center"/>
    </xf>
    <xf numFmtId="0" fontId="11" fillId="0" borderId="0" xfId="0" applyFont="1" applyBorder="1" applyAlignment="1">
      <alignment horizontal="left"/>
    </xf>
    <xf numFmtId="2" fontId="11" fillId="0" borderId="0" xfId="0" applyNumberFormat="1" applyFont="1" applyBorder="1" applyAlignment="1">
      <alignment horizontal="center"/>
    </xf>
    <xf numFmtId="0" fontId="36" fillId="2" borderId="1" xfId="0" applyFont="1" applyFill="1" applyBorder="1" applyAlignment="1">
      <alignment wrapText="1"/>
    </xf>
    <xf numFmtId="0" fontId="10" fillId="0" borderId="0" xfId="0" applyFont="1" applyAlignment="1">
      <alignment horizontal="center" wrapText="1"/>
    </xf>
    <xf numFmtId="0" fontId="3" fillId="0" borderId="1" xfId="0" applyFont="1" applyBorder="1" applyAlignment="1">
      <alignment horizontal="center" wrapText="1"/>
    </xf>
    <xf numFmtId="0" fontId="3" fillId="0" borderId="2"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xf>
    <xf numFmtId="0" fontId="1" fillId="0" borderId="0" xfId="0" applyFont="1" applyAlignment="1">
      <alignment horizontal="center" wrapText="1"/>
    </xf>
    <xf numFmtId="0" fontId="10" fillId="0" borderId="0" xfId="0" applyFont="1" applyAlignment="1">
      <alignment horizontal="center"/>
    </xf>
    <xf numFmtId="0" fontId="11" fillId="0" borderId="0" xfId="0" applyFont="1" applyAlignment="1">
      <alignment horizontal="center"/>
    </xf>
    <xf numFmtId="0" fontId="36" fillId="0" borderId="0" xfId="0" applyFont="1" applyAlignment="1">
      <alignment horizontal="center" wrapText="1"/>
    </xf>
    <xf numFmtId="0" fontId="9" fillId="0" borderId="9" xfId="0" applyFont="1" applyBorder="1" applyAlignment="1">
      <alignment horizontal="center" wrapText="1"/>
    </xf>
    <xf numFmtId="0" fontId="6" fillId="0" borderId="0" xfId="0" applyFont="1" applyAlignment="1">
      <alignment horizontal="left" wrapText="1"/>
    </xf>
    <xf numFmtId="0" fontId="12" fillId="0" borderId="0" xfId="0" applyFont="1" applyFill="1" applyAlignment="1">
      <alignment horizontal="center" wrapText="1"/>
    </xf>
    <xf numFmtId="0" fontId="9" fillId="0" borderId="9" xfId="0" applyFont="1" applyBorder="1" applyAlignment="1">
      <alignment horizontal="center"/>
    </xf>
    <xf numFmtId="0" fontId="1" fillId="0" borderId="0" xfId="0" applyFont="1" applyAlignment="1">
      <alignment horizontal="center"/>
    </xf>
    <xf numFmtId="0" fontId="15" fillId="0" borderId="9" xfId="0" applyFont="1" applyBorder="1" applyAlignment="1">
      <alignment horizontal="center" vertical="center" wrapText="1"/>
    </xf>
    <xf numFmtId="0" fontId="8" fillId="0" borderId="1" xfId="0" applyFont="1" applyBorder="1" applyAlignment="1">
      <alignment horizontal="center" wrapText="1"/>
    </xf>
    <xf numFmtId="2" fontId="8" fillId="0" borderId="1" xfId="0" applyNumberFormat="1" applyFont="1" applyBorder="1" applyAlignment="1">
      <alignment horizontal="center"/>
    </xf>
    <xf numFmtId="2" fontId="8" fillId="0" borderId="1" xfId="0" applyNumberFormat="1" applyFont="1" applyBorder="1" applyAlignment="1">
      <alignment horizontal="center" wrapText="1"/>
    </xf>
    <xf numFmtId="0" fontId="8" fillId="0" borderId="0" xfId="0" applyFont="1" applyAlignment="1">
      <alignment horizontal="center"/>
    </xf>
    <xf numFmtId="0" fontId="7" fillId="0" borderId="0" xfId="0" applyFont="1" applyAlignment="1">
      <alignment horizontal="center"/>
    </xf>
    <xf numFmtId="0" fontId="25" fillId="0" borderId="5"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6" xfId="0" applyFont="1" applyBorder="1" applyAlignment="1">
      <alignment horizontal="center" vertical="center" wrapText="1"/>
    </xf>
    <xf numFmtId="0" fontId="21" fillId="0" borderId="0" xfId="0" applyFont="1" applyAlignment="1">
      <alignment horizontal="center"/>
    </xf>
    <xf numFmtId="0" fontId="25" fillId="0" borderId="0" xfId="0" applyFont="1" applyAlignment="1">
      <alignment horizontal="center"/>
    </xf>
    <xf numFmtId="0" fontId="25" fillId="0" borderId="1" xfId="0" applyFont="1" applyBorder="1" applyAlignment="1">
      <alignment horizontal="center" vertical="center" wrapText="1"/>
    </xf>
    <xf numFmtId="0" fontId="8" fillId="0" borderId="2" xfId="0" applyFont="1" applyBorder="1" applyAlignment="1">
      <alignment horizontal="center" wrapText="1"/>
    </xf>
    <xf numFmtId="0" fontId="8" fillId="0" borderId="4" xfId="0" applyFont="1" applyBorder="1" applyAlignment="1">
      <alignment horizontal="center" wrapText="1"/>
    </xf>
    <xf numFmtId="0" fontId="8" fillId="0" borderId="5" xfId="0" applyFont="1" applyBorder="1" applyAlignment="1">
      <alignment horizontal="center" wrapText="1"/>
    </xf>
    <xf numFmtId="0" fontId="8" fillId="0" borderId="6" xfId="0" applyFont="1" applyBorder="1" applyAlignment="1">
      <alignment horizontal="center" wrapText="1"/>
    </xf>
    <xf numFmtId="0" fontId="8" fillId="0" borderId="3" xfId="0" applyFont="1" applyBorder="1" applyAlignment="1">
      <alignment horizontal="center" wrapText="1"/>
    </xf>
    <xf numFmtId="0" fontId="8" fillId="0" borderId="2" xfId="0" applyFont="1" applyBorder="1" applyAlignment="1">
      <alignment horizontal="center"/>
    </xf>
    <xf numFmtId="0" fontId="8" fillId="0" borderId="3" xfId="0" applyFont="1" applyBorder="1" applyAlignment="1">
      <alignment horizontal="center"/>
    </xf>
    <xf numFmtId="0" fontId="8" fillId="0" borderId="4" xfId="0" applyFont="1" applyBorder="1" applyAlignment="1">
      <alignment horizontal="center"/>
    </xf>
    <xf numFmtId="0" fontId="8" fillId="0" borderId="1" xfId="0" applyFont="1" applyBorder="1" applyAlignment="1">
      <alignment horizontal="center"/>
    </xf>
    <xf numFmtId="0" fontId="37" fillId="0" borderId="0" xfId="0" applyFont="1" applyAlignment="1">
      <alignment horizontal="center"/>
    </xf>
    <xf numFmtId="0" fontId="38" fillId="0" borderId="0" xfId="0" applyFont="1" applyAlignment="1">
      <alignment horizontal="center"/>
    </xf>
    <xf numFmtId="0" fontId="38" fillId="0" borderId="0" xfId="0" applyFont="1" applyFill="1" applyAlignment="1">
      <alignment horizontal="center"/>
    </xf>
    <xf numFmtId="0" fontId="17" fillId="0" borderId="0" xfId="0" applyFont="1" applyFill="1" applyAlignment="1">
      <alignment horizontal="center" wrapText="1"/>
    </xf>
    <xf numFmtId="0" fontId="17" fillId="0" borderId="0" xfId="0" applyFont="1" applyAlignment="1">
      <alignment horizontal="center" wrapText="1"/>
    </xf>
    <xf numFmtId="0" fontId="17" fillId="0" borderId="8" xfId="0" applyFont="1" applyBorder="1" applyAlignment="1">
      <alignment horizontal="center" wrapText="1"/>
    </xf>
    <xf numFmtId="1" fontId="12" fillId="0" borderId="1" xfId="0" applyNumberFormat="1" applyFont="1" applyBorder="1" applyAlignment="1">
      <alignment horizontal="center" wrapText="1"/>
    </xf>
    <xf numFmtId="1" fontId="17" fillId="0" borderId="1" xfId="0" applyNumberFormat="1" applyFont="1" applyBorder="1" applyAlignment="1">
      <alignment horizontal="center" wrapText="1"/>
    </xf>
    <xf numFmtId="0" fontId="17" fillId="0" borderId="0" xfId="0" applyFont="1" applyAlignment="1">
      <alignment horizontal="right"/>
    </xf>
    <xf numFmtId="0" fontId="20" fillId="0" borderId="0" xfId="0" applyFont="1" applyAlignment="1">
      <alignment horizontal="right"/>
    </xf>
    <xf numFmtId="0" fontId="17" fillId="0" borderId="0" xfId="0" applyFont="1" applyFill="1" applyAlignment="1">
      <alignment horizontal="right"/>
    </xf>
    <xf numFmtId="0" fontId="23" fillId="0" borderId="0" xfId="0" applyFont="1" applyFill="1" applyAlignment="1">
      <alignment horizontal="center"/>
    </xf>
    <xf numFmtId="0" fontId="17" fillId="0" borderId="0" xfId="0" applyFont="1"/>
    <xf numFmtId="0" fontId="43" fillId="0" borderId="0" xfId="0" applyFont="1"/>
    <xf numFmtId="0" fontId="39" fillId="0" borderId="0" xfId="0" applyFont="1" applyAlignment="1">
      <alignment wrapText="1"/>
    </xf>
    <xf numFmtId="0" fontId="17" fillId="0" borderId="0" xfId="0" applyFont="1" applyAlignment="1">
      <alignment wrapText="1"/>
    </xf>
    <xf numFmtId="0" fontId="17" fillId="0" borderId="8" xfId="0" applyFont="1" applyBorder="1" applyAlignment="1">
      <alignment wrapText="1"/>
    </xf>
    <xf numFmtId="0" fontId="17" fillId="0" borderId="0" xfId="0" applyFont="1" applyAlignment="1">
      <alignment horizontal="center"/>
    </xf>
    <xf numFmtId="0" fontId="12" fillId="0" borderId="0" xfId="0" applyFont="1" applyAlignment="1">
      <alignment horizontal="left" wrapText="1"/>
    </xf>
    <xf numFmtId="0" fontId="43" fillId="0" borderId="0" xfId="0" applyFont="1" applyAlignment="1">
      <alignment horizontal="center"/>
    </xf>
    <xf numFmtId="0" fontId="17" fillId="0" borderId="0" xfId="0" applyFont="1" applyAlignment="1">
      <alignment horizontal="justify"/>
    </xf>
    <xf numFmtId="0" fontId="17" fillId="0" borderId="0" xfId="0" applyFont="1" applyAlignment="1">
      <alignment horizontal="justify" wrapText="1"/>
    </xf>
    <xf numFmtId="0" fontId="41" fillId="0" borderId="0" xfId="0" applyFont="1"/>
    <xf numFmtId="0" fontId="17" fillId="0" borderId="0" xfId="0" applyFont="1" applyAlignment="1">
      <alignment horizontal="left" indent="3"/>
    </xf>
    <xf numFmtId="0" fontId="17" fillId="0" borderId="1" xfId="0" applyFont="1" applyBorder="1" applyAlignment="1">
      <alignment horizontal="center" vertical="top" wrapText="1"/>
    </xf>
    <xf numFmtId="0" fontId="17" fillId="2" borderId="1" xfId="0" applyFont="1" applyFill="1" applyBorder="1" applyAlignment="1">
      <alignment vertical="top" wrapText="1"/>
    </xf>
    <xf numFmtId="0" fontId="17" fillId="0" borderId="1" xfId="0" applyFont="1" applyBorder="1" applyAlignment="1">
      <alignment vertical="top" wrapText="1"/>
    </xf>
    <xf numFmtId="0" fontId="17" fillId="0" borderId="1" xfId="0" applyFont="1" applyBorder="1" applyAlignment="1">
      <alignment horizontal="left" vertical="top" wrapText="1" indent="2"/>
    </xf>
    <xf numFmtId="0" fontId="57" fillId="0" borderId="0" xfId="0" applyFont="1" applyAlignment="1">
      <alignment horizontal="center"/>
    </xf>
    <xf numFmtId="0" fontId="6" fillId="0" borderId="9" xfId="0" applyFont="1" applyBorder="1" applyAlignment="1">
      <alignment horizontal="center"/>
    </xf>
    <xf numFmtId="0" fontId="17" fillId="0" borderId="1" xfId="0" applyFont="1" applyBorder="1" applyAlignment="1">
      <alignment horizontal="left" vertical="top" wrapText="1" indent="3"/>
    </xf>
    <xf numFmtId="0" fontId="17" fillId="0" borderId="5" xfId="0" applyFont="1" applyFill="1" applyBorder="1" applyAlignment="1">
      <alignment horizontal="left" vertical="top" wrapText="1"/>
    </xf>
    <xf numFmtId="0" fontId="17" fillId="0" borderId="7" xfId="0" applyFont="1" applyFill="1" applyBorder="1" applyAlignment="1">
      <alignment horizontal="left" vertical="top" wrapText="1"/>
    </xf>
    <xf numFmtId="0" fontId="17" fillId="0" borderId="6" xfId="0" applyFont="1" applyFill="1" applyBorder="1" applyAlignment="1">
      <alignment horizontal="left" vertical="top" wrapText="1"/>
    </xf>
    <xf numFmtId="0" fontId="17" fillId="0" borderId="5" xfId="0" applyFont="1" applyBorder="1" applyAlignment="1">
      <alignment horizontal="left" vertical="top" wrapText="1"/>
    </xf>
    <xf numFmtId="0" fontId="17" fillId="0" borderId="7" xfId="0" applyFont="1" applyBorder="1" applyAlignment="1">
      <alignment horizontal="left" vertical="top" wrapText="1"/>
    </xf>
    <xf numFmtId="0" fontId="17" fillId="0" borderId="6" xfId="0" applyFont="1" applyBorder="1" applyAlignment="1">
      <alignment horizontal="left" vertical="top" wrapText="1"/>
    </xf>
    <xf numFmtId="49" fontId="17" fillId="0" borderId="5" xfId="0" applyNumberFormat="1" applyFont="1" applyBorder="1" applyAlignment="1">
      <alignment horizontal="left" vertical="top" wrapText="1"/>
    </xf>
    <xf numFmtId="49" fontId="17" fillId="0" borderId="7" xfId="0" applyNumberFormat="1" applyFont="1" applyBorder="1" applyAlignment="1">
      <alignment horizontal="left" vertical="top" wrapText="1"/>
    </xf>
    <xf numFmtId="49" fontId="17" fillId="0" borderId="6" xfId="0" applyNumberFormat="1" applyFont="1" applyBorder="1" applyAlignment="1">
      <alignment horizontal="left" vertical="top" wrapText="1"/>
    </xf>
    <xf numFmtId="0" fontId="17" fillId="0" borderId="5" xfId="0" applyFont="1" applyBorder="1" applyAlignment="1">
      <alignment vertical="top" wrapText="1"/>
    </xf>
    <xf numFmtId="0" fontId="17" fillId="0" borderId="7" xfId="0" applyFont="1" applyBorder="1" applyAlignment="1">
      <alignment vertical="top" wrapText="1"/>
    </xf>
    <xf numFmtId="0" fontId="17" fillId="0" borderId="6" xfId="0" applyFont="1" applyBorder="1" applyAlignment="1">
      <alignment vertical="top" wrapText="1"/>
    </xf>
    <xf numFmtId="0" fontId="33" fillId="0" borderId="0" xfId="0" applyFont="1" applyAlignment="1">
      <alignment horizontal="right"/>
    </xf>
    <xf numFmtId="0" fontId="34" fillId="0" borderId="0" xfId="0" applyFont="1" applyAlignment="1">
      <alignment horizontal="center"/>
    </xf>
    <xf numFmtId="0" fontId="7" fillId="0" borderId="0" xfId="0" applyFont="1" applyAlignment="1">
      <alignment horizontal="center" wrapText="1"/>
    </xf>
    <xf numFmtId="0" fontId="47" fillId="0" borderId="0" xfId="0" applyFont="1" applyAlignment="1">
      <alignment horizontal="left" vertical="center"/>
    </xf>
  </cellXfs>
  <cellStyles count="3">
    <cellStyle name="Гиперссылка" xfId="2" builtinId="8"/>
    <cellStyle name="Обычный" xfId="0" builtinId="0"/>
    <cellStyle name="Обычный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consultantplus://offline/main?base=LAW;n=53610;fld=134;dst=100283"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B3:K38"/>
  <sheetViews>
    <sheetView topLeftCell="A25" workbookViewId="0">
      <selection activeCell="I21" sqref="I21"/>
    </sheetView>
  </sheetViews>
  <sheetFormatPr defaultRowHeight="14.4"/>
  <cols>
    <col min="3" max="3" width="23.88671875" customWidth="1"/>
    <col min="4" max="4" width="9.44140625" customWidth="1"/>
    <col min="5" max="5" width="13" customWidth="1"/>
    <col min="7" max="7" width="9.109375" bestFit="1" customWidth="1"/>
    <col min="8" max="8" width="12.6640625" customWidth="1"/>
    <col min="10" max="10" width="5.5546875" customWidth="1"/>
    <col min="11" max="11" width="12.88671875" customWidth="1"/>
  </cols>
  <sheetData>
    <row r="3" spans="2:11" ht="15.6">
      <c r="B3" s="59" t="s">
        <v>28</v>
      </c>
      <c r="C3" s="59"/>
      <c r="D3" s="59"/>
      <c r="E3" s="232">
        <v>111</v>
      </c>
      <c r="F3" s="13"/>
      <c r="G3" s="13"/>
      <c r="H3" s="13"/>
      <c r="I3" s="13"/>
      <c r="J3" s="13"/>
      <c r="K3" s="13"/>
    </row>
    <row r="4" spans="2:11" ht="15.6">
      <c r="B4" s="59" t="s">
        <v>29</v>
      </c>
      <c r="C4" s="59"/>
      <c r="D4" s="59"/>
      <c r="E4" s="319" t="s">
        <v>891</v>
      </c>
      <c r="F4" s="319"/>
      <c r="G4" s="319"/>
      <c r="H4" s="319"/>
      <c r="I4" s="319"/>
      <c r="J4" s="319"/>
      <c r="K4" s="319"/>
    </row>
    <row r="5" spans="2:11" ht="15.6">
      <c r="B5" s="320" t="s">
        <v>109</v>
      </c>
      <c r="C5" s="320"/>
      <c r="D5" s="320"/>
      <c r="E5" s="320"/>
      <c r="F5" s="320"/>
      <c r="G5" s="320"/>
      <c r="H5" s="320"/>
      <c r="I5" s="320"/>
      <c r="J5" s="320"/>
      <c r="K5" s="320"/>
    </row>
    <row r="6" spans="2:11" ht="15.6">
      <c r="B6" s="13"/>
      <c r="C6" s="13"/>
      <c r="D6" s="13"/>
      <c r="E6" s="13"/>
      <c r="F6" s="13"/>
      <c r="G6" s="13"/>
      <c r="H6" s="13"/>
      <c r="I6" s="13"/>
      <c r="J6" s="13"/>
      <c r="K6" s="13"/>
    </row>
    <row r="7" spans="2:11">
      <c r="B7" s="314" t="s">
        <v>2</v>
      </c>
      <c r="C7" s="314" t="s">
        <v>110</v>
      </c>
      <c r="D7" s="314" t="s">
        <v>111</v>
      </c>
      <c r="E7" s="314" t="s">
        <v>112</v>
      </c>
      <c r="F7" s="314"/>
      <c r="G7" s="314"/>
      <c r="H7" s="314"/>
      <c r="I7" s="315" t="s">
        <v>119</v>
      </c>
      <c r="J7" s="315" t="s">
        <v>113</v>
      </c>
      <c r="K7" s="315" t="s">
        <v>120</v>
      </c>
    </row>
    <row r="8" spans="2:11">
      <c r="B8" s="314"/>
      <c r="C8" s="314"/>
      <c r="D8" s="314"/>
      <c r="E8" s="314" t="s">
        <v>114</v>
      </c>
      <c r="F8" s="318" t="s">
        <v>115</v>
      </c>
      <c r="G8" s="318"/>
      <c r="H8" s="318"/>
      <c r="I8" s="316"/>
      <c r="J8" s="316"/>
      <c r="K8" s="316"/>
    </row>
    <row r="9" spans="2:11" ht="39.6">
      <c r="B9" s="314"/>
      <c r="C9" s="314"/>
      <c r="D9" s="314"/>
      <c r="E9" s="314"/>
      <c r="F9" s="220" t="s">
        <v>116</v>
      </c>
      <c r="G9" s="220" t="s">
        <v>117</v>
      </c>
      <c r="H9" s="220" t="s">
        <v>118</v>
      </c>
      <c r="I9" s="317"/>
      <c r="J9" s="317"/>
      <c r="K9" s="317"/>
    </row>
    <row r="10" spans="2:11">
      <c r="B10" s="221">
        <v>1</v>
      </c>
      <c r="C10" s="221">
        <v>2</v>
      </c>
      <c r="D10" s="221">
        <v>3</v>
      </c>
      <c r="E10" s="221">
        <v>4</v>
      </c>
      <c r="F10" s="221">
        <v>5</v>
      </c>
      <c r="G10" s="221">
        <v>6</v>
      </c>
      <c r="H10" s="221">
        <v>7</v>
      </c>
      <c r="I10" s="221">
        <v>8</v>
      </c>
      <c r="J10" s="221">
        <v>9</v>
      </c>
      <c r="K10" s="221">
        <v>10</v>
      </c>
    </row>
    <row r="11" spans="2:11" ht="15.6">
      <c r="B11" s="5">
        <v>1</v>
      </c>
      <c r="C11" s="5" t="s">
        <v>198</v>
      </c>
      <c r="D11" s="5">
        <v>1.5</v>
      </c>
      <c r="E11" s="11">
        <f>F11+G11+H11</f>
        <v>42674.5</v>
      </c>
      <c r="F11" s="11">
        <v>4181.95</v>
      </c>
      <c r="G11" s="11">
        <v>10000</v>
      </c>
      <c r="H11" s="11">
        <v>28492.55</v>
      </c>
      <c r="I11" s="11">
        <v>60</v>
      </c>
      <c r="J11" s="11">
        <v>1</v>
      </c>
      <c r="K11" s="251">
        <f>4725565+109147.14</f>
        <v>4834712.1399999997</v>
      </c>
    </row>
    <row r="12" spans="2:11" ht="15.6">
      <c r="B12" s="5"/>
      <c r="C12" s="5"/>
      <c r="D12" s="5"/>
      <c r="E12" s="11"/>
      <c r="F12" s="5"/>
      <c r="G12" s="11"/>
      <c r="H12" s="11"/>
      <c r="I12" s="11"/>
      <c r="J12" s="11"/>
      <c r="K12" s="252"/>
    </row>
    <row r="13" spans="2:11" ht="15.6">
      <c r="B13" s="5">
        <v>2</v>
      </c>
      <c r="C13" s="5" t="s">
        <v>199</v>
      </c>
      <c r="D13" s="11">
        <v>2.25</v>
      </c>
      <c r="E13" s="11">
        <f>F13+G13+H13</f>
        <v>29515.1</v>
      </c>
      <c r="F13" s="11">
        <v>5760.3</v>
      </c>
      <c r="G13" s="11">
        <v>5000</v>
      </c>
      <c r="H13" s="11">
        <v>18754.8</v>
      </c>
      <c r="I13" s="11">
        <v>60</v>
      </c>
      <c r="J13" s="11">
        <v>1</v>
      </c>
      <c r="K13" s="252">
        <f>1880160+688098.31</f>
        <v>2568258.31</v>
      </c>
    </row>
    <row r="14" spans="2:11" ht="15.6">
      <c r="B14" s="5"/>
      <c r="C14" s="5"/>
      <c r="D14" s="5"/>
      <c r="E14" s="11"/>
      <c r="F14" s="11"/>
      <c r="G14" s="11"/>
      <c r="H14" s="11"/>
      <c r="I14" s="11"/>
      <c r="J14" s="11"/>
      <c r="K14" s="252"/>
    </row>
    <row r="15" spans="2:11" ht="15.6">
      <c r="B15" s="5">
        <v>4</v>
      </c>
      <c r="C15" s="5" t="s">
        <v>202</v>
      </c>
      <c r="D15" s="5">
        <v>3.5</v>
      </c>
      <c r="E15" s="11">
        <f>F15+G15+H15</f>
        <v>24771.48</v>
      </c>
      <c r="F15" s="11">
        <v>5790</v>
      </c>
      <c r="G15" s="11">
        <v>3000</v>
      </c>
      <c r="H15" s="11">
        <v>15981.48</v>
      </c>
      <c r="I15" s="11">
        <v>60</v>
      </c>
      <c r="J15" s="11">
        <v>1</v>
      </c>
      <c r="K15" s="252">
        <f>D15*E15*1.6*12</f>
        <v>1664643.456</v>
      </c>
    </row>
    <row r="16" spans="2:11" ht="15.6">
      <c r="B16" s="5"/>
      <c r="C16" s="5"/>
      <c r="D16" s="5"/>
      <c r="E16" s="5"/>
      <c r="F16" s="11"/>
      <c r="G16" s="11"/>
      <c r="H16" s="11"/>
      <c r="I16" s="11"/>
      <c r="J16" s="11"/>
      <c r="K16" s="252"/>
    </row>
    <row r="17" spans="2:11" ht="15.6">
      <c r="B17" s="5"/>
      <c r="C17" s="35"/>
      <c r="D17" s="11">
        <f>D11+D13+D15</f>
        <v>7.25</v>
      </c>
      <c r="E17" s="11">
        <f>F17+G17+H17</f>
        <v>0</v>
      </c>
      <c r="F17" s="11"/>
      <c r="G17" s="11"/>
      <c r="H17" s="11"/>
      <c r="I17" s="11"/>
      <c r="J17" s="11"/>
      <c r="K17" s="252"/>
    </row>
    <row r="18" spans="2:11" ht="15.6">
      <c r="B18" s="32"/>
      <c r="C18" s="31" t="s">
        <v>121</v>
      </c>
      <c r="D18" s="32" t="s">
        <v>5</v>
      </c>
      <c r="E18" s="32"/>
      <c r="F18" s="34" t="s">
        <v>5</v>
      </c>
      <c r="G18" s="34" t="s">
        <v>5</v>
      </c>
      <c r="H18" s="34" t="s">
        <v>5</v>
      </c>
      <c r="I18" s="34" t="s">
        <v>5</v>
      </c>
      <c r="J18" s="34" t="s">
        <v>5</v>
      </c>
      <c r="K18" s="277">
        <f>SUM(K11:K17)</f>
        <v>9067613.9059999995</v>
      </c>
    </row>
    <row r="30" spans="2:11" ht="51" customHeight="1">
      <c r="C30" s="313" t="s">
        <v>101</v>
      </c>
      <c r="D30" s="313"/>
      <c r="E30" s="313"/>
      <c r="F30" s="313"/>
      <c r="G30" s="313"/>
      <c r="H30" s="313"/>
    </row>
    <row r="32" spans="2:11" ht="39.6">
      <c r="C32" s="221" t="s">
        <v>2</v>
      </c>
      <c r="D32" s="221" t="s">
        <v>34</v>
      </c>
      <c r="E32" s="220" t="s">
        <v>102</v>
      </c>
      <c r="F32" s="220" t="s">
        <v>103</v>
      </c>
      <c r="G32" s="220" t="s">
        <v>104</v>
      </c>
      <c r="H32" s="220" t="s">
        <v>90</v>
      </c>
    </row>
    <row r="33" spans="3:8">
      <c r="C33" s="45">
        <v>1</v>
      </c>
      <c r="D33" s="45">
        <v>2</v>
      </c>
      <c r="E33" s="45">
        <v>3</v>
      </c>
      <c r="F33" s="45">
        <v>4</v>
      </c>
      <c r="G33" s="45">
        <v>5</v>
      </c>
      <c r="H33" s="45">
        <v>6</v>
      </c>
    </row>
    <row r="34" spans="3:8" ht="24.6">
      <c r="C34" s="5">
        <v>1</v>
      </c>
      <c r="D34" s="88" t="s">
        <v>105</v>
      </c>
      <c r="E34" s="5">
        <v>750</v>
      </c>
      <c r="F34" s="5">
        <v>6</v>
      </c>
      <c r="G34" s="11">
        <v>4</v>
      </c>
      <c r="H34" s="11">
        <f>E34*F34*G34</f>
        <v>18000</v>
      </c>
    </row>
    <row r="35" spans="3:8" ht="24.6">
      <c r="C35" s="5">
        <v>2</v>
      </c>
      <c r="D35" s="88" t="s">
        <v>106</v>
      </c>
      <c r="E35" s="5">
        <v>800</v>
      </c>
      <c r="F35" s="5">
        <v>8</v>
      </c>
      <c r="G35" s="11">
        <v>12</v>
      </c>
      <c r="H35" s="11">
        <f t="shared" ref="H35:H36" si="0">E35*F35*G35</f>
        <v>76800</v>
      </c>
    </row>
    <row r="36" spans="3:8" ht="15.6">
      <c r="C36" s="5">
        <v>3</v>
      </c>
      <c r="D36" s="88" t="s">
        <v>107</v>
      </c>
      <c r="E36" s="5">
        <v>200</v>
      </c>
      <c r="F36" s="5">
        <v>8</v>
      </c>
      <c r="G36" s="11">
        <v>4</v>
      </c>
      <c r="H36" s="11">
        <f t="shared" si="0"/>
        <v>6400</v>
      </c>
    </row>
    <row r="37" spans="3:8" ht="15.6">
      <c r="C37" s="5"/>
      <c r="D37" s="5"/>
      <c r="E37" s="5"/>
      <c r="F37" s="5"/>
      <c r="G37" s="11"/>
      <c r="H37" s="11"/>
    </row>
    <row r="38" spans="3:8">
      <c r="C38" s="44"/>
      <c r="D38" s="51" t="s">
        <v>25</v>
      </c>
      <c r="E38" s="52" t="s">
        <v>5</v>
      </c>
      <c r="F38" s="52" t="s">
        <v>5</v>
      </c>
      <c r="G38" s="52" t="s">
        <v>5</v>
      </c>
      <c r="H38" s="53">
        <f>SUM(H34:H37)</f>
        <v>101200</v>
      </c>
    </row>
  </sheetData>
  <mergeCells count="12">
    <mergeCell ref="E4:K4"/>
    <mergeCell ref="B5:K5"/>
    <mergeCell ref="B7:B9"/>
    <mergeCell ref="C7:C9"/>
    <mergeCell ref="D7:D9"/>
    <mergeCell ref="C30:H30"/>
    <mergeCell ref="E7:H7"/>
    <mergeCell ref="I7:I9"/>
    <mergeCell ref="J7:J9"/>
    <mergeCell ref="K7:K9"/>
    <mergeCell ref="E8:E9"/>
    <mergeCell ref="F8:H8"/>
  </mergeCells>
  <pageMargins left="0.70866141732283472" right="0.70866141732283472"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sheetPr>
    <tabColor rgb="FFFF0000"/>
  </sheetPr>
  <dimension ref="A2:N45"/>
  <sheetViews>
    <sheetView topLeftCell="A34" workbookViewId="0">
      <selection activeCell="D9" sqref="D9"/>
    </sheetView>
  </sheetViews>
  <sheetFormatPr defaultRowHeight="14.4"/>
  <cols>
    <col min="1" max="1" width="21.6640625" style="87" customWidth="1"/>
    <col min="2" max="2" width="5.5546875" style="183" customWidth="1"/>
    <col min="3" max="3" width="9.44140625" style="183" customWidth="1"/>
    <col min="4" max="4" width="14.44140625" style="183" customWidth="1"/>
    <col min="5" max="5" width="15.109375" style="183" customWidth="1"/>
    <col min="6" max="6" width="12.5546875" style="183" customWidth="1"/>
    <col min="7" max="7" width="9.5546875" style="183" customWidth="1"/>
    <col min="8" max="8" width="10.88671875" style="183" customWidth="1"/>
    <col min="9" max="9" width="12.44140625" style="183" customWidth="1"/>
    <col min="10" max="10" width="8.88671875" style="183" customWidth="1"/>
    <col min="11" max="11" width="11.6640625" style="183" customWidth="1"/>
    <col min="12" max="12" width="7.6640625" style="183" customWidth="1"/>
  </cols>
  <sheetData>
    <row r="2" spans="1:12">
      <c r="A2" s="333" t="s">
        <v>1552</v>
      </c>
      <c r="B2" s="333"/>
      <c r="C2" s="333"/>
      <c r="D2" s="333"/>
      <c r="E2" s="333"/>
      <c r="F2" s="333"/>
      <c r="G2" s="333"/>
      <c r="H2" s="333"/>
      <c r="I2" s="333"/>
      <c r="J2" s="333"/>
      <c r="K2" s="333"/>
      <c r="L2" s="333"/>
    </row>
    <row r="4" spans="1:12">
      <c r="A4" s="340" t="s">
        <v>42</v>
      </c>
      <c r="B4" s="340" t="s">
        <v>205</v>
      </c>
      <c r="C4" s="340" t="s">
        <v>206</v>
      </c>
      <c r="D4" s="329" t="s">
        <v>207</v>
      </c>
      <c r="E4" s="329"/>
      <c r="F4" s="329"/>
      <c r="G4" s="329"/>
      <c r="H4" s="329"/>
      <c r="I4" s="329"/>
      <c r="J4" s="329"/>
      <c r="K4" s="329"/>
      <c r="L4" s="329"/>
    </row>
    <row r="5" spans="1:12">
      <c r="A5" s="344"/>
      <c r="B5" s="344"/>
      <c r="C5" s="344"/>
      <c r="D5" s="345" t="s">
        <v>114</v>
      </c>
      <c r="E5" s="348" t="s">
        <v>208</v>
      </c>
      <c r="F5" s="348"/>
      <c r="G5" s="348"/>
      <c r="H5" s="348"/>
      <c r="I5" s="348"/>
      <c r="J5" s="348"/>
      <c r="K5" s="348"/>
      <c r="L5" s="348"/>
    </row>
    <row r="6" spans="1:12" ht="104.25" customHeight="1">
      <c r="A6" s="344"/>
      <c r="B6" s="344"/>
      <c r="C6" s="344"/>
      <c r="D6" s="346"/>
      <c r="E6" s="340" t="s">
        <v>209</v>
      </c>
      <c r="F6" s="340" t="s">
        <v>857</v>
      </c>
      <c r="G6" s="340" t="s">
        <v>210</v>
      </c>
      <c r="H6" s="340" t="s">
        <v>850</v>
      </c>
      <c r="I6" s="329" t="s">
        <v>211</v>
      </c>
      <c r="J6" s="329"/>
      <c r="K6" s="342" t="s">
        <v>212</v>
      </c>
      <c r="L6" s="343"/>
    </row>
    <row r="7" spans="1:12" ht="38.25" customHeight="1">
      <c r="A7" s="341"/>
      <c r="B7" s="341"/>
      <c r="C7" s="341"/>
      <c r="D7" s="347"/>
      <c r="E7" s="341"/>
      <c r="F7" s="341"/>
      <c r="G7" s="341"/>
      <c r="H7" s="341"/>
      <c r="I7" s="185" t="s">
        <v>862</v>
      </c>
      <c r="J7" s="185" t="s">
        <v>863</v>
      </c>
      <c r="K7" s="184" t="s">
        <v>114</v>
      </c>
      <c r="L7" s="182" t="s">
        <v>213</v>
      </c>
    </row>
    <row r="8" spans="1:12">
      <c r="A8" s="180">
        <v>1</v>
      </c>
      <c r="B8" s="181">
        <v>2</v>
      </c>
      <c r="C8" s="181">
        <v>3</v>
      </c>
      <c r="D8" s="181">
        <v>4</v>
      </c>
      <c r="E8" s="181">
        <v>5</v>
      </c>
      <c r="F8" s="42" t="s">
        <v>214</v>
      </c>
      <c r="G8" s="181">
        <v>6</v>
      </c>
      <c r="H8" s="181">
        <v>7</v>
      </c>
      <c r="I8" s="181">
        <v>8</v>
      </c>
      <c r="J8" s="181"/>
      <c r="K8" s="181">
        <v>9</v>
      </c>
      <c r="L8" s="181">
        <v>10</v>
      </c>
    </row>
    <row r="9" spans="1:12" s="177" customFormat="1" ht="24">
      <c r="A9" s="174" t="s">
        <v>215</v>
      </c>
      <c r="B9" s="175">
        <v>100</v>
      </c>
      <c r="C9" s="175" t="s">
        <v>5</v>
      </c>
      <c r="D9" s="176">
        <f>E9+I9+K9+H9+J9</f>
        <v>338387202.31</v>
      </c>
      <c r="E9" s="176">
        <f>E13</f>
        <v>8845904</v>
      </c>
      <c r="F9" s="176"/>
      <c r="G9" s="176"/>
      <c r="H9" s="176">
        <f>H20</f>
        <v>8290015</v>
      </c>
      <c r="I9" s="176">
        <f>I13</f>
        <v>295268338.35000002</v>
      </c>
      <c r="J9" s="176"/>
      <c r="K9" s="176">
        <f>K10+K13+K18+K19+K22</f>
        <v>25982944.960000001</v>
      </c>
      <c r="L9" s="176"/>
    </row>
    <row r="10" spans="1:12" ht="24.6">
      <c r="A10" s="88" t="s">
        <v>216</v>
      </c>
      <c r="B10" s="46">
        <v>110</v>
      </c>
      <c r="C10" s="46">
        <v>120</v>
      </c>
      <c r="D10" s="123">
        <f>K10</f>
        <v>1402944.96</v>
      </c>
      <c r="E10" s="172" t="s">
        <v>5</v>
      </c>
      <c r="F10" s="172"/>
      <c r="G10" s="172" t="s">
        <v>5</v>
      </c>
      <c r="H10" s="172" t="s">
        <v>5</v>
      </c>
      <c r="I10" s="172" t="s">
        <v>5</v>
      </c>
      <c r="J10" s="172"/>
      <c r="K10" s="172">
        <f>K11+K12</f>
        <v>1402944.96</v>
      </c>
      <c r="L10" s="123" t="s">
        <v>5</v>
      </c>
    </row>
    <row r="11" spans="1:12" ht="24.6">
      <c r="A11" s="88" t="s">
        <v>217</v>
      </c>
      <c r="B11" s="46"/>
      <c r="C11" s="46"/>
      <c r="D11" s="123">
        <f>K11</f>
        <v>1402944.96</v>
      </c>
      <c r="E11" s="172" t="s">
        <v>5</v>
      </c>
      <c r="F11" s="172"/>
      <c r="G11" s="172" t="s">
        <v>5</v>
      </c>
      <c r="H11" s="172" t="s">
        <v>5</v>
      </c>
      <c r="I11" s="172" t="s">
        <v>5</v>
      </c>
      <c r="J11" s="172"/>
      <c r="K11" s="172">
        <f>Детализированная!K9</f>
        <v>1402944.96</v>
      </c>
      <c r="L11" s="123" t="s">
        <v>5</v>
      </c>
    </row>
    <row r="12" spans="1:12" ht="24.6">
      <c r="A12" s="88" t="s">
        <v>218</v>
      </c>
      <c r="B12" s="46"/>
      <c r="C12" s="46"/>
      <c r="D12" s="123"/>
      <c r="E12" s="172" t="s">
        <v>5</v>
      </c>
      <c r="F12" s="172"/>
      <c r="G12" s="172" t="s">
        <v>5</v>
      </c>
      <c r="H12" s="172" t="s">
        <v>5</v>
      </c>
      <c r="I12" s="172" t="s">
        <v>5</v>
      </c>
      <c r="J12" s="172"/>
      <c r="K12" s="172"/>
      <c r="L12" s="123" t="s">
        <v>5</v>
      </c>
    </row>
    <row r="13" spans="1:12" ht="24.6">
      <c r="A13" s="88" t="s">
        <v>219</v>
      </c>
      <c r="B13" s="46">
        <v>120</v>
      </c>
      <c r="C13" s="173">
        <v>130</v>
      </c>
      <c r="D13" s="172">
        <f t="shared" ref="D13:D17" si="0">E13+I13+K13+J13</f>
        <v>328694242.35000002</v>
      </c>
      <c r="E13" s="172">
        <f>Детализированная!E9</f>
        <v>8845904</v>
      </c>
      <c r="F13" s="172"/>
      <c r="G13" s="172" t="s">
        <v>5</v>
      </c>
      <c r="H13" s="172" t="s">
        <v>5</v>
      </c>
      <c r="I13" s="172">
        <f>Детализированная!P9</f>
        <v>295268338.35000002</v>
      </c>
      <c r="J13" s="172"/>
      <c r="K13" s="172">
        <f>Детализированная!R9+Детализированная!L9-K22</f>
        <v>24580000</v>
      </c>
      <c r="L13" s="123"/>
    </row>
    <row r="14" spans="1:12" ht="24.6">
      <c r="A14" s="88" t="s">
        <v>846</v>
      </c>
      <c r="B14" s="46"/>
      <c r="C14" s="46"/>
      <c r="D14" s="172">
        <f t="shared" si="0"/>
        <v>99667084.189999998</v>
      </c>
      <c r="E14" s="172">
        <f>2631080</f>
        <v>2631080</v>
      </c>
      <c r="F14" s="172"/>
      <c r="G14" s="172" t="s">
        <v>5</v>
      </c>
      <c r="H14" s="172" t="s">
        <v>5</v>
      </c>
      <c r="I14" s="257">
        <f>96996785.3-344261.11</f>
        <v>96652524.189999998</v>
      </c>
      <c r="J14" s="172"/>
      <c r="K14" s="257">
        <f>383480</f>
        <v>383480</v>
      </c>
      <c r="L14" s="123"/>
    </row>
    <row r="15" spans="1:12" ht="24.6">
      <c r="A15" s="88" t="s">
        <v>847</v>
      </c>
      <c r="B15" s="46"/>
      <c r="C15" s="46"/>
      <c r="D15" s="172">
        <f t="shared" si="0"/>
        <v>167306205.15000001</v>
      </c>
      <c r="E15" s="172">
        <f>6214824</f>
        <v>6214824</v>
      </c>
      <c r="F15" s="172"/>
      <c r="G15" s="172" t="s">
        <v>5</v>
      </c>
      <c r="H15" s="172" t="s">
        <v>5</v>
      </c>
      <c r="I15" s="257">
        <v>136894861.15000001</v>
      </c>
      <c r="J15" s="172"/>
      <c r="K15" s="257">
        <f>K13-K14</f>
        <v>24196520</v>
      </c>
      <c r="L15" s="123"/>
    </row>
    <row r="16" spans="1:12">
      <c r="A16" s="88" t="s">
        <v>848</v>
      </c>
      <c r="B16" s="46"/>
      <c r="C16" s="46"/>
      <c r="D16" s="172">
        <f t="shared" si="0"/>
        <v>20355949.149999999</v>
      </c>
      <c r="E16" s="172"/>
      <c r="F16" s="172"/>
      <c r="G16" s="172" t="s">
        <v>5</v>
      </c>
      <c r="H16" s="172" t="s">
        <v>5</v>
      </c>
      <c r="I16" s="257">
        <v>20355949.149999999</v>
      </c>
      <c r="J16" s="172"/>
      <c r="K16" s="172"/>
      <c r="L16" s="123"/>
    </row>
    <row r="17" spans="1:12">
      <c r="A17" s="88" t="s">
        <v>849</v>
      </c>
      <c r="B17" s="46"/>
      <c r="C17" s="46"/>
      <c r="D17" s="172">
        <f t="shared" si="0"/>
        <v>41365003.859999999</v>
      </c>
      <c r="E17" s="172"/>
      <c r="F17" s="172"/>
      <c r="G17" s="172"/>
      <c r="H17" s="172"/>
      <c r="I17" s="257">
        <f>41665003.86-300000</f>
        <v>41365003.859999999</v>
      </c>
      <c r="J17" s="172"/>
      <c r="K17" s="172"/>
      <c r="L17" s="123"/>
    </row>
    <row r="18" spans="1:12" ht="36.6">
      <c r="A18" s="88" t="s">
        <v>220</v>
      </c>
      <c r="B18" s="46">
        <v>130</v>
      </c>
      <c r="C18" s="46"/>
      <c r="D18" s="172"/>
      <c r="E18" s="172" t="s">
        <v>5</v>
      </c>
      <c r="F18" s="172"/>
      <c r="G18" s="172" t="s">
        <v>5</v>
      </c>
      <c r="H18" s="172" t="s">
        <v>5</v>
      </c>
      <c r="I18" s="172" t="s">
        <v>5</v>
      </c>
      <c r="J18" s="172"/>
      <c r="K18" s="172"/>
      <c r="L18" s="123" t="s">
        <v>5</v>
      </c>
    </row>
    <row r="19" spans="1:12" ht="72.599999999999994">
      <c r="A19" s="88" t="s">
        <v>221</v>
      </c>
      <c r="B19" s="46">
        <v>140</v>
      </c>
      <c r="C19" s="46"/>
      <c r="D19" s="172"/>
      <c r="E19" s="172" t="s">
        <v>5</v>
      </c>
      <c r="F19" s="172"/>
      <c r="G19" s="172" t="s">
        <v>5</v>
      </c>
      <c r="H19" s="172" t="s">
        <v>5</v>
      </c>
      <c r="I19" s="172" t="s">
        <v>5</v>
      </c>
      <c r="J19" s="172"/>
      <c r="K19" s="172"/>
      <c r="L19" s="123" t="s">
        <v>5</v>
      </c>
    </row>
    <row r="20" spans="1:12" ht="36.6">
      <c r="A20" s="88" t="s">
        <v>222</v>
      </c>
      <c r="B20" s="46">
        <v>150</v>
      </c>
      <c r="C20" s="46">
        <v>180</v>
      </c>
      <c r="D20" s="172">
        <f>H20</f>
        <v>8290015</v>
      </c>
      <c r="E20" s="172" t="s">
        <v>5</v>
      </c>
      <c r="F20" s="172"/>
      <c r="G20" s="172"/>
      <c r="H20" s="172">
        <f>Детализированная!F9</f>
        <v>8290015</v>
      </c>
      <c r="I20" s="172" t="s">
        <v>5</v>
      </c>
      <c r="J20" s="172"/>
      <c r="K20" s="172" t="s">
        <v>5</v>
      </c>
      <c r="L20" s="123" t="s">
        <v>5</v>
      </c>
    </row>
    <row r="21" spans="1:12">
      <c r="A21" s="88" t="s">
        <v>223</v>
      </c>
      <c r="B21" s="46">
        <v>160</v>
      </c>
      <c r="C21" s="46"/>
      <c r="D21" s="172"/>
      <c r="E21" s="172" t="s">
        <v>5</v>
      </c>
      <c r="F21" s="172"/>
      <c r="G21" s="172" t="s">
        <v>5</v>
      </c>
      <c r="H21" s="172" t="s">
        <v>5</v>
      </c>
      <c r="I21" s="172" t="s">
        <v>5</v>
      </c>
      <c r="J21" s="172"/>
      <c r="K21" s="172"/>
      <c r="L21" s="123"/>
    </row>
    <row r="22" spans="1:12" ht="24.6">
      <c r="A22" s="178" t="s">
        <v>869</v>
      </c>
      <c r="B22" s="173">
        <v>180</v>
      </c>
      <c r="C22" s="173">
        <v>400</v>
      </c>
      <c r="D22" s="172">
        <f>K22</f>
        <v>0</v>
      </c>
      <c r="E22" s="172" t="s">
        <v>5</v>
      </c>
      <c r="F22" s="172"/>
      <c r="G22" s="172" t="s">
        <v>5</v>
      </c>
      <c r="H22" s="172" t="s">
        <v>5</v>
      </c>
      <c r="I22" s="172" t="s">
        <v>5</v>
      </c>
      <c r="J22" s="172"/>
      <c r="K22" s="172">
        <f>K23</f>
        <v>0</v>
      </c>
      <c r="L22" s="172" t="s">
        <v>5</v>
      </c>
    </row>
    <row r="23" spans="1:12" ht="24.6">
      <c r="A23" s="178" t="s">
        <v>870</v>
      </c>
      <c r="B23" s="173"/>
      <c r="C23" s="173">
        <v>440</v>
      </c>
      <c r="D23" s="172">
        <f>K23</f>
        <v>0</v>
      </c>
      <c r="E23" s="172"/>
      <c r="F23" s="172"/>
      <c r="G23" s="172"/>
      <c r="H23" s="172"/>
      <c r="I23" s="172"/>
      <c r="J23" s="172"/>
      <c r="K23" s="172">
        <v>0</v>
      </c>
      <c r="L23" s="172"/>
    </row>
    <row r="24" spans="1:12" ht="24">
      <c r="A24" s="89" t="s">
        <v>224</v>
      </c>
      <c r="B24" s="90">
        <v>200</v>
      </c>
      <c r="C24" s="90" t="s">
        <v>5</v>
      </c>
      <c r="D24" s="176">
        <f>E24+I24+K24+H24</f>
        <v>363953958.72000003</v>
      </c>
      <c r="E24" s="176">
        <f>E25+E30+E37</f>
        <v>8845904</v>
      </c>
      <c r="F24" s="176"/>
      <c r="G24" s="176"/>
      <c r="H24" s="176">
        <f>H37</f>
        <v>23290015</v>
      </c>
      <c r="I24" s="176">
        <f>I25+I30+I37</f>
        <v>304213101</v>
      </c>
      <c r="J24" s="176">
        <f>J26+J27</f>
        <v>0</v>
      </c>
      <c r="K24" s="176">
        <f>K25+K30+K37</f>
        <v>27604938.720000003</v>
      </c>
      <c r="L24" s="124"/>
    </row>
    <row r="25" spans="1:12" ht="24.6">
      <c r="A25" s="88" t="s">
        <v>225</v>
      </c>
      <c r="B25" s="46">
        <v>210</v>
      </c>
      <c r="C25" s="46">
        <v>110</v>
      </c>
      <c r="D25" s="172">
        <f>E25+I25+K25</f>
        <v>227621471.32999998</v>
      </c>
      <c r="E25" s="172">
        <f>E26+E27</f>
        <v>7354452.5700000003</v>
      </c>
      <c r="F25" s="172"/>
      <c r="G25" s="172"/>
      <c r="H25" s="172"/>
      <c r="I25" s="172">
        <f>I26+I27</f>
        <v>208385764</v>
      </c>
      <c r="J25" s="172">
        <f>J26</f>
        <v>0</v>
      </c>
      <c r="K25" s="172">
        <f>K26+K27</f>
        <v>11881254.76</v>
      </c>
      <c r="L25" s="123"/>
    </row>
    <row r="26" spans="1:12" ht="48.6">
      <c r="A26" s="88" t="s">
        <v>226</v>
      </c>
      <c r="B26" s="46">
        <v>211</v>
      </c>
      <c r="C26" s="46">
        <v>110</v>
      </c>
      <c r="D26" s="172">
        <f>E26+I26+K26</f>
        <v>227091471.32999998</v>
      </c>
      <c r="E26" s="172">
        <f>Детализированная!E13+Детализированная!E15</f>
        <v>7344452.5700000003</v>
      </c>
      <c r="F26" s="172"/>
      <c r="G26" s="172"/>
      <c r="H26" s="172"/>
      <c r="I26" s="172">
        <f>Детализированная!P13+Детализированная!P15</f>
        <v>207965764</v>
      </c>
      <c r="J26" s="172">
        <f>Детализированная!Q15</f>
        <v>0</v>
      </c>
      <c r="K26" s="172">
        <f>Детализированная!K13+Детализированная!K15+Детализированная!L13+Детализированная!L15+Детализированная!R13+Детализированная!R15</f>
        <v>11781254.76</v>
      </c>
      <c r="L26" s="123"/>
    </row>
    <row r="27" spans="1:12" ht="36.6">
      <c r="A27" s="178" t="s">
        <v>859</v>
      </c>
      <c r="B27" s="173">
        <v>212</v>
      </c>
      <c r="C27" s="173">
        <v>112</v>
      </c>
      <c r="D27" s="172">
        <f>E27+H27+I27+J27+K27</f>
        <v>530000</v>
      </c>
      <c r="E27" s="172">
        <f>Детализированная!E14</f>
        <v>10000</v>
      </c>
      <c r="F27" s="172"/>
      <c r="G27" s="172"/>
      <c r="H27" s="172"/>
      <c r="I27" s="172">
        <f>Детализированная!P14</f>
        <v>420000</v>
      </c>
      <c r="J27" s="172"/>
      <c r="K27" s="172">
        <f>Детализированная!L14+Детализированная!K14+Детализированная!R14</f>
        <v>100000</v>
      </c>
      <c r="L27" s="172"/>
    </row>
    <row r="28" spans="1:12" s="50" customFormat="1" ht="24.6">
      <c r="A28" s="178" t="s">
        <v>227</v>
      </c>
      <c r="B28" s="173">
        <v>220</v>
      </c>
      <c r="C28" s="173"/>
      <c r="D28" s="172"/>
      <c r="E28" s="172"/>
      <c r="F28" s="172"/>
      <c r="G28" s="172"/>
      <c r="H28" s="172"/>
      <c r="I28" s="172"/>
      <c r="J28" s="172"/>
      <c r="K28" s="172"/>
      <c r="L28" s="172"/>
    </row>
    <row r="29" spans="1:12">
      <c r="A29" s="88" t="s">
        <v>228</v>
      </c>
      <c r="B29" s="46"/>
      <c r="C29" s="46"/>
      <c r="D29" s="172"/>
      <c r="E29" s="172"/>
      <c r="F29" s="172"/>
      <c r="G29" s="172"/>
      <c r="H29" s="172"/>
      <c r="I29" s="172"/>
      <c r="J29" s="172"/>
      <c r="K29" s="172"/>
      <c r="L29" s="123"/>
    </row>
    <row r="30" spans="1:12" ht="24.6">
      <c r="A30" s="88" t="s">
        <v>229</v>
      </c>
      <c r="B30" s="46">
        <v>230</v>
      </c>
      <c r="C30" s="46">
        <v>850</v>
      </c>
      <c r="D30" s="172">
        <f>E30+I30+K30</f>
        <v>1480000</v>
      </c>
      <c r="E30" s="172"/>
      <c r="F30" s="172"/>
      <c r="G30" s="172"/>
      <c r="H30" s="172"/>
      <c r="I30" s="172">
        <f>SUM(I31:I33)</f>
        <v>980000</v>
      </c>
      <c r="J30" s="172"/>
      <c r="K30" s="192">
        <f>K31+K32+K33</f>
        <v>500000</v>
      </c>
      <c r="L30" s="123"/>
    </row>
    <row r="31" spans="1:12" ht="48.6">
      <c r="A31" s="88" t="s">
        <v>860</v>
      </c>
      <c r="B31" s="46"/>
      <c r="C31" s="46">
        <v>851</v>
      </c>
      <c r="D31" s="172">
        <f t="shared" ref="D31:D33" si="1">E31+I31+K31</f>
        <v>792065</v>
      </c>
      <c r="E31" s="172"/>
      <c r="F31" s="172"/>
      <c r="G31" s="172"/>
      <c r="H31" s="172"/>
      <c r="I31" s="257">
        <v>757065</v>
      </c>
      <c r="J31" s="172"/>
      <c r="K31" s="257">
        <v>35000</v>
      </c>
      <c r="L31" s="123"/>
    </row>
    <row r="32" spans="1:12" ht="24.6">
      <c r="A32" s="88" t="s">
        <v>861</v>
      </c>
      <c r="B32" s="46"/>
      <c r="C32" s="46">
        <v>852</v>
      </c>
      <c r="D32" s="172">
        <f t="shared" si="1"/>
        <v>109376</v>
      </c>
      <c r="E32" s="172"/>
      <c r="F32" s="172"/>
      <c r="G32" s="172"/>
      <c r="H32" s="172"/>
      <c r="I32" s="257">
        <v>44376</v>
      </c>
      <c r="J32" s="172"/>
      <c r="K32" s="257">
        <v>65000</v>
      </c>
      <c r="L32" s="123"/>
    </row>
    <row r="33" spans="1:14">
      <c r="A33" s="88" t="s">
        <v>905</v>
      </c>
      <c r="B33" s="46"/>
      <c r="C33" s="46">
        <v>853</v>
      </c>
      <c r="D33" s="172">
        <f t="shared" si="1"/>
        <v>578559</v>
      </c>
      <c r="E33" s="172"/>
      <c r="F33" s="172"/>
      <c r="G33" s="172"/>
      <c r="H33" s="172"/>
      <c r="I33" s="257">
        <f>47935+122387.02+8236.98</f>
        <v>178559.00000000003</v>
      </c>
      <c r="J33" s="172"/>
      <c r="K33" s="257">
        <v>400000</v>
      </c>
      <c r="L33" s="123"/>
    </row>
    <row r="34" spans="1:14">
      <c r="A34" s="88" t="s">
        <v>228</v>
      </c>
      <c r="B34" s="46"/>
      <c r="C34" s="46"/>
      <c r="D34" s="172"/>
      <c r="E34" s="172"/>
      <c r="F34" s="172"/>
      <c r="G34" s="172"/>
      <c r="H34" s="172"/>
      <c r="I34" s="257"/>
      <c r="J34" s="172"/>
      <c r="K34" s="192"/>
      <c r="L34" s="123"/>
    </row>
    <row r="35" spans="1:14" ht="39" customHeight="1">
      <c r="A35" s="88" t="s">
        <v>864</v>
      </c>
      <c r="B35" s="46">
        <v>240</v>
      </c>
      <c r="C35" s="46"/>
      <c r="D35" s="172"/>
      <c r="E35" s="172"/>
      <c r="F35" s="172"/>
      <c r="G35" s="172"/>
      <c r="H35" s="172"/>
      <c r="I35" s="172"/>
      <c r="J35" s="172"/>
      <c r="K35" s="192"/>
      <c r="L35" s="123"/>
    </row>
    <row r="36" spans="1:14" ht="36.6">
      <c r="A36" s="88" t="s">
        <v>230</v>
      </c>
      <c r="B36" s="46">
        <v>250</v>
      </c>
      <c r="C36" s="46"/>
      <c r="D36" s="172"/>
      <c r="E36" s="172"/>
      <c r="F36" s="172"/>
      <c r="G36" s="172"/>
      <c r="H36" s="172"/>
      <c r="I36" s="172"/>
      <c r="J36" s="172"/>
      <c r="K36" s="192"/>
      <c r="L36" s="123"/>
    </row>
    <row r="37" spans="1:14" ht="26.25" customHeight="1">
      <c r="A37" s="88" t="s">
        <v>231</v>
      </c>
      <c r="B37" s="46">
        <v>260</v>
      </c>
      <c r="C37" s="46" t="s">
        <v>5</v>
      </c>
      <c r="D37" s="172">
        <f>E37+I37+K37+H37</f>
        <v>134852487.39000002</v>
      </c>
      <c r="E37" s="172">
        <f>Детализированная!E16+Детализированная!E17+Детализированная!E18+Детализированная!E19+Детализированная!E20+Детализированная!E21+Детализированная!E29+Детализированная!E26</f>
        <v>1491451.43</v>
      </c>
      <c r="F37" s="172"/>
      <c r="G37" s="172"/>
      <c r="H37" s="172">
        <f>Детализированная!F11</f>
        <v>23290015</v>
      </c>
      <c r="I37" s="172">
        <f>Детализированная!P16+Детализированная!P17+Детализированная!P18+Детализированная!P19+Детализированная!P20+Детализированная!P21+Детализированная!P26+Детализированная!P29</f>
        <v>94847337</v>
      </c>
      <c r="J37" s="172"/>
      <c r="K37" s="192">
        <f>(Детализированная!K16+Детализированная!K17+Детализированная!K18+Детализированная!K19+Детализированная!K20+Детализированная!K21+Детализированная!K26+Детализированная!K29+Детализированная!L16+Детализированная!L17+Детализированная!L18+Детализированная!L19+Детализированная!L20+Детализированная!L21+Детализированная!L26+Детализированная!L29+Детализированная!R26+Детализированная!R29+Детализированная!R21)</f>
        <v>15223683.960000003</v>
      </c>
      <c r="L37" s="123"/>
      <c r="N37" s="205"/>
    </row>
    <row r="38" spans="1:14" ht="24.6">
      <c r="A38" s="88" t="s">
        <v>232</v>
      </c>
      <c r="B38" s="46">
        <v>300</v>
      </c>
      <c r="C38" s="46" t="s">
        <v>5</v>
      </c>
      <c r="D38" s="123"/>
      <c r="E38" s="172"/>
      <c r="F38" s="172"/>
      <c r="G38" s="172"/>
      <c r="H38" s="172"/>
      <c r="I38" s="172"/>
      <c r="J38" s="172"/>
      <c r="K38" s="172"/>
      <c r="L38" s="123"/>
    </row>
    <row r="39" spans="1:14" ht="36.6">
      <c r="A39" s="88" t="s">
        <v>233</v>
      </c>
      <c r="B39" s="46">
        <v>310</v>
      </c>
      <c r="C39" s="46"/>
      <c r="D39" s="123"/>
      <c r="E39" s="172"/>
      <c r="F39" s="172"/>
      <c r="G39" s="172"/>
      <c r="H39" s="172"/>
      <c r="I39" s="172"/>
      <c r="J39" s="172"/>
      <c r="K39" s="172"/>
      <c r="L39" s="123"/>
    </row>
    <row r="40" spans="1:14">
      <c r="A40" s="88" t="s">
        <v>234</v>
      </c>
      <c r="B40" s="46">
        <v>320</v>
      </c>
      <c r="C40" s="46"/>
      <c r="D40" s="123"/>
      <c r="E40" s="172"/>
      <c r="F40" s="172"/>
      <c r="G40" s="172"/>
      <c r="H40" s="172"/>
      <c r="I40" s="172"/>
      <c r="J40" s="172"/>
      <c r="K40" s="172"/>
      <c r="L40" s="123"/>
    </row>
    <row r="41" spans="1:14" ht="24.6">
      <c r="A41" s="88" t="s">
        <v>235</v>
      </c>
      <c r="B41" s="46">
        <v>400</v>
      </c>
      <c r="C41" s="46"/>
      <c r="D41" s="123"/>
      <c r="E41" s="172"/>
      <c r="F41" s="172"/>
      <c r="G41" s="172"/>
      <c r="H41" s="172"/>
      <c r="I41" s="172"/>
      <c r="J41" s="172"/>
      <c r="K41" s="172"/>
      <c r="L41" s="123"/>
    </row>
    <row r="42" spans="1:14" ht="48.6">
      <c r="A42" s="88" t="s">
        <v>236</v>
      </c>
      <c r="B42" s="46">
        <v>410</v>
      </c>
      <c r="C42" s="46"/>
      <c r="D42" s="123"/>
      <c r="E42" s="123"/>
      <c r="F42" s="123"/>
      <c r="G42" s="123"/>
      <c r="H42" s="123"/>
      <c r="I42" s="123"/>
      <c r="J42" s="123"/>
      <c r="K42" s="123"/>
      <c r="L42" s="123"/>
    </row>
    <row r="43" spans="1:14">
      <c r="A43" s="88" t="s">
        <v>237</v>
      </c>
      <c r="B43" s="46">
        <v>420</v>
      </c>
      <c r="C43" s="46"/>
      <c r="D43" s="123"/>
      <c r="E43" s="123"/>
      <c r="F43" s="123"/>
      <c r="G43" s="123"/>
      <c r="H43" s="123"/>
      <c r="I43" s="123"/>
      <c r="J43" s="123"/>
      <c r="K43" s="123"/>
      <c r="L43" s="123"/>
    </row>
    <row r="44" spans="1:14" ht="24">
      <c r="A44" s="89" t="s">
        <v>238</v>
      </c>
      <c r="B44" s="90">
        <v>500</v>
      </c>
      <c r="C44" s="90" t="s">
        <v>5</v>
      </c>
      <c r="D44" s="124">
        <f>E44+I44+K44+H44</f>
        <v>25566756.41</v>
      </c>
      <c r="E44" s="124">
        <f>Детализированная!E7</f>
        <v>0</v>
      </c>
      <c r="F44" s="124"/>
      <c r="G44" s="124"/>
      <c r="H44" s="124">
        <f>Детализированная!F7</f>
        <v>15000000</v>
      </c>
      <c r="I44" s="186">
        <f>Детализированная!P7</f>
        <v>8944762.6500000004</v>
      </c>
      <c r="J44" s="186"/>
      <c r="K44" s="124">
        <f>Детализированная!L7+Детализированная!K7+Детализированная!R7</f>
        <v>1621993.76</v>
      </c>
      <c r="L44" s="124"/>
    </row>
    <row r="45" spans="1:14" ht="24">
      <c r="A45" s="89" t="s">
        <v>239</v>
      </c>
      <c r="B45" s="90">
        <v>600</v>
      </c>
      <c r="C45" s="90" t="s">
        <v>5</v>
      </c>
      <c r="D45" s="124">
        <f>E45+I45+K45</f>
        <v>0</v>
      </c>
      <c r="E45" s="124">
        <f>E44+E9-E24</f>
        <v>0</v>
      </c>
      <c r="F45" s="124"/>
      <c r="G45" s="124"/>
      <c r="H45" s="124">
        <f>H44+H9-H24</f>
        <v>0</v>
      </c>
      <c r="I45" s="186">
        <f>I44+I9-(I24-J24)</f>
        <v>0</v>
      </c>
      <c r="J45" s="186"/>
      <c r="K45" s="124">
        <f>K44+K9-K24</f>
        <v>0</v>
      </c>
      <c r="L45" s="124"/>
    </row>
  </sheetData>
  <mergeCells count="13">
    <mergeCell ref="H6:H7"/>
    <mergeCell ref="K6:L6"/>
    <mergeCell ref="I6:J6"/>
    <mergeCell ref="A2:L2"/>
    <mergeCell ref="A4:A7"/>
    <mergeCell ref="B4:B7"/>
    <mergeCell ref="C4:C7"/>
    <mergeCell ref="D4:L4"/>
    <mergeCell ref="D5:D7"/>
    <mergeCell ref="E5:L5"/>
    <mergeCell ref="E6:E7"/>
    <mergeCell ref="F6:F7"/>
    <mergeCell ref="G6:G7"/>
  </mergeCells>
  <pageMargins left="0.70866141732283472" right="0.11811023622047245" top="0" bottom="0" header="0.31496062992125984" footer="0.31496062992125984"/>
  <pageSetup paperSize="9" scale="63" orientation="portrait" r:id="rId1"/>
</worksheet>
</file>

<file path=xl/worksheets/sheet11.xml><?xml version="1.0" encoding="utf-8"?>
<worksheet xmlns="http://schemas.openxmlformats.org/spreadsheetml/2006/main" xmlns:r="http://schemas.openxmlformats.org/officeDocument/2006/relationships">
  <dimension ref="A1:I167"/>
  <sheetViews>
    <sheetView tabSelected="1" topLeftCell="A10" workbookViewId="0">
      <selection activeCell="A9" sqref="A9"/>
    </sheetView>
  </sheetViews>
  <sheetFormatPr defaultRowHeight="14.4"/>
  <cols>
    <col min="3" max="3" width="10.33203125" customWidth="1"/>
    <col min="4" max="4" width="10" customWidth="1"/>
    <col min="5" max="5" width="10.33203125" customWidth="1"/>
    <col min="6" max="6" width="12" customWidth="1"/>
    <col min="7" max="7" width="15.6640625" customWidth="1"/>
    <col min="8" max="8" width="16.109375" customWidth="1"/>
    <col min="9" max="9" width="18.5546875" style="84" customWidth="1"/>
  </cols>
  <sheetData>
    <row r="1" spans="1:9">
      <c r="A1" s="135"/>
    </row>
    <row r="2" spans="1:9">
      <c r="A2" s="136"/>
    </row>
    <row r="3" spans="1:9" ht="15.6">
      <c r="A3" s="357" t="s">
        <v>711</v>
      </c>
      <c r="B3" s="357"/>
      <c r="C3" s="357"/>
      <c r="D3" s="357"/>
      <c r="E3" s="357"/>
      <c r="F3" s="357"/>
      <c r="G3" s="357"/>
      <c r="H3" s="357"/>
      <c r="I3" s="357"/>
    </row>
    <row r="4" spans="1:9" ht="15.6">
      <c r="A4" s="357" t="s">
        <v>1513</v>
      </c>
      <c r="B4" s="357"/>
      <c r="C4" s="357"/>
      <c r="D4" s="357"/>
      <c r="E4" s="357"/>
      <c r="F4" s="357"/>
      <c r="G4" s="357"/>
      <c r="H4" s="357"/>
      <c r="I4" s="357"/>
    </row>
    <row r="5" spans="1:9" ht="15.6">
      <c r="A5" s="357" t="s">
        <v>712</v>
      </c>
      <c r="B5" s="357"/>
      <c r="C5" s="357"/>
      <c r="D5" s="357"/>
      <c r="E5" s="357"/>
      <c r="F5" s="357"/>
      <c r="G5" s="357"/>
      <c r="H5" s="357"/>
      <c r="I5" s="357"/>
    </row>
    <row r="6" spans="1:9">
      <c r="A6" s="358"/>
      <c r="B6" s="358"/>
      <c r="C6" s="358"/>
      <c r="D6" s="358"/>
      <c r="E6" s="358"/>
      <c r="F6" s="358"/>
      <c r="G6" s="358"/>
      <c r="H6" s="358"/>
      <c r="I6" s="358"/>
    </row>
    <row r="7" spans="1:9" ht="15.6">
      <c r="A7" s="357" t="s">
        <v>1514</v>
      </c>
      <c r="B7" s="357"/>
      <c r="C7" s="357"/>
      <c r="D7" s="357"/>
      <c r="E7" s="357"/>
      <c r="F7" s="357"/>
      <c r="G7" s="357"/>
      <c r="H7" s="357"/>
      <c r="I7" s="357"/>
    </row>
    <row r="8" spans="1:9" s="50" customFormat="1" ht="15.6">
      <c r="A8" s="359" t="s">
        <v>1549</v>
      </c>
      <c r="B8" s="359"/>
      <c r="C8" s="359"/>
      <c r="D8" s="359"/>
      <c r="E8" s="359"/>
      <c r="F8" s="359"/>
      <c r="G8" s="359"/>
      <c r="H8" s="359"/>
      <c r="I8" s="359"/>
    </row>
    <row r="9" spans="1:9">
      <c r="A9" s="97"/>
    </row>
    <row r="10" spans="1:9" ht="15.6">
      <c r="A10" s="189"/>
    </row>
    <row r="11" spans="1:9" ht="16.8">
      <c r="A11" s="349" t="s">
        <v>713</v>
      </c>
      <c r="B11" s="349"/>
      <c r="C11" s="349"/>
      <c r="D11" s="349"/>
      <c r="E11" s="349"/>
      <c r="F11" s="349"/>
      <c r="G11" s="349"/>
      <c r="H11" s="349"/>
      <c r="I11" s="349"/>
    </row>
    <row r="12" spans="1:9" ht="16.8">
      <c r="A12" s="350" t="s">
        <v>714</v>
      </c>
      <c r="B12" s="350"/>
      <c r="C12" s="350"/>
      <c r="D12" s="350"/>
      <c r="E12" s="350"/>
      <c r="F12" s="350"/>
      <c r="G12" s="350"/>
      <c r="H12" s="350"/>
      <c r="I12" s="350"/>
    </row>
    <row r="13" spans="1:9" s="50" customFormat="1" ht="16.8">
      <c r="A13" s="351" t="s">
        <v>1526</v>
      </c>
      <c r="B13" s="351"/>
      <c r="C13" s="351"/>
      <c r="D13" s="351"/>
      <c r="E13" s="351"/>
      <c r="F13" s="351"/>
      <c r="G13" s="351"/>
      <c r="H13" s="351"/>
      <c r="I13" s="351"/>
    </row>
    <row r="14" spans="1:9" s="50" customFormat="1" ht="16.8">
      <c r="A14" s="196"/>
      <c r="B14" s="196"/>
      <c r="C14" s="351" t="s">
        <v>1527</v>
      </c>
      <c r="D14" s="351"/>
      <c r="E14" s="351"/>
      <c r="F14" s="351"/>
      <c r="G14" s="351"/>
      <c r="H14" s="351"/>
      <c r="I14" s="196"/>
    </row>
    <row r="15" spans="1:9" s="194" customFormat="1" ht="13.5" customHeight="1">
      <c r="A15" s="193"/>
      <c r="C15" s="360" t="s">
        <v>774</v>
      </c>
      <c r="D15" s="360"/>
      <c r="E15" s="360"/>
      <c r="F15" s="360"/>
      <c r="G15" s="360"/>
      <c r="H15" s="360"/>
      <c r="I15" s="195"/>
    </row>
    <row r="16" spans="1:9" ht="15.6">
      <c r="A16" s="188"/>
      <c r="B16" s="188"/>
      <c r="C16" s="137"/>
      <c r="D16" s="138"/>
      <c r="I16" s="139" t="s">
        <v>715</v>
      </c>
    </row>
    <row r="17" spans="1:9" ht="31.2">
      <c r="A17" s="188"/>
      <c r="B17" s="188"/>
      <c r="C17" s="140"/>
      <c r="D17" s="138"/>
      <c r="H17" s="140"/>
      <c r="I17" s="190" t="s">
        <v>865</v>
      </c>
    </row>
    <row r="18" spans="1:9" s="50" customFormat="1" ht="15.75" customHeight="1">
      <c r="A18" s="352" t="s">
        <v>1525</v>
      </c>
      <c r="B18" s="352"/>
      <c r="C18" s="352"/>
      <c r="D18" s="352"/>
      <c r="E18" s="352"/>
      <c r="F18" s="352"/>
      <c r="G18" s="352"/>
      <c r="H18" s="197" t="s">
        <v>716</v>
      </c>
      <c r="I18" s="198" t="s">
        <v>1528</v>
      </c>
    </row>
    <row r="19" spans="1:9">
      <c r="A19" s="188"/>
      <c r="B19" s="188"/>
      <c r="C19" s="137"/>
      <c r="D19" s="142"/>
      <c r="H19" s="137"/>
      <c r="I19" s="141"/>
    </row>
    <row r="20" spans="1:9">
      <c r="A20" s="188"/>
      <c r="B20" s="188"/>
      <c r="C20" s="137"/>
      <c r="D20" s="142"/>
      <c r="H20" s="137"/>
      <c r="I20" s="141"/>
    </row>
    <row r="21" spans="1:9" ht="15.75" customHeight="1">
      <c r="A21" s="353" t="s">
        <v>717</v>
      </c>
      <c r="B21" s="353"/>
      <c r="C21" s="353"/>
      <c r="D21" s="353"/>
      <c r="E21" s="353"/>
      <c r="F21" s="353"/>
      <c r="G21" s="353"/>
      <c r="H21" s="354"/>
      <c r="I21" s="355" t="s">
        <v>866</v>
      </c>
    </row>
    <row r="22" spans="1:9" ht="54.75" customHeight="1">
      <c r="A22" s="353" t="s">
        <v>718</v>
      </c>
      <c r="B22" s="353"/>
      <c r="C22" s="353"/>
      <c r="D22" s="353"/>
      <c r="E22" s="353"/>
      <c r="F22" s="353"/>
      <c r="G22" s="353"/>
      <c r="H22" s="140"/>
      <c r="I22" s="356"/>
    </row>
    <row r="23" spans="1:9">
      <c r="A23" s="363"/>
      <c r="B23" s="363"/>
      <c r="C23" s="137"/>
      <c r="D23" s="142"/>
      <c r="H23" s="137"/>
      <c r="I23" s="141"/>
    </row>
    <row r="24" spans="1:9">
      <c r="A24" s="363"/>
      <c r="B24" s="363"/>
      <c r="C24" s="137"/>
      <c r="D24" s="142"/>
      <c r="H24" s="137"/>
      <c r="I24" s="141"/>
    </row>
    <row r="25" spans="1:9" ht="16.649999999999999" customHeight="1">
      <c r="A25" s="364" t="s">
        <v>719</v>
      </c>
      <c r="B25" s="364"/>
      <c r="C25" s="364"/>
      <c r="D25" s="364"/>
      <c r="E25" s="364"/>
      <c r="F25" s="364"/>
      <c r="G25" s="364"/>
      <c r="H25" s="365"/>
      <c r="I25" s="141"/>
    </row>
    <row r="26" spans="1:9" ht="15.6">
      <c r="A26" s="187"/>
      <c r="B26" s="187"/>
      <c r="C26" s="187"/>
      <c r="D26" s="187"/>
      <c r="E26" s="187"/>
      <c r="F26" s="187"/>
      <c r="G26" s="187"/>
      <c r="H26" s="159"/>
      <c r="I26" s="141"/>
    </row>
    <row r="27" spans="1:9" s="162" customFormat="1" ht="32.25" customHeight="1">
      <c r="A27" s="367" t="s">
        <v>775</v>
      </c>
      <c r="B27" s="367"/>
      <c r="C27" s="367"/>
      <c r="D27" s="367"/>
      <c r="E27" s="367"/>
      <c r="F27" s="367"/>
      <c r="G27" s="367"/>
      <c r="H27" s="164"/>
      <c r="I27" s="191" t="s">
        <v>776</v>
      </c>
    </row>
    <row r="28" spans="1:9" s="162" customFormat="1" ht="19.5" customHeight="1">
      <c r="A28" s="163"/>
      <c r="B28" s="163"/>
      <c r="C28" s="163"/>
      <c r="D28" s="163"/>
      <c r="E28" s="163"/>
      <c r="F28" s="163"/>
      <c r="G28" s="163"/>
      <c r="H28" s="160"/>
      <c r="I28" s="161"/>
    </row>
    <row r="29" spans="1:9" ht="15.75" customHeight="1">
      <c r="A29" s="364" t="s">
        <v>867</v>
      </c>
      <c r="B29" s="364"/>
      <c r="C29" s="364"/>
      <c r="D29" s="364"/>
      <c r="E29" s="364"/>
      <c r="F29" s="364"/>
      <c r="G29" s="364"/>
      <c r="H29" s="143"/>
      <c r="I29" s="190" t="s">
        <v>868</v>
      </c>
    </row>
    <row r="30" spans="1:9" ht="15.6">
      <c r="A30" s="366"/>
      <c r="B30" s="366"/>
      <c r="C30" s="366"/>
      <c r="D30" s="366"/>
      <c r="E30" s="366"/>
      <c r="F30" s="366"/>
      <c r="G30" s="366"/>
      <c r="H30" s="366"/>
      <c r="I30" s="366"/>
    </row>
    <row r="31" spans="1:9" ht="15.6">
      <c r="A31" s="361" t="s">
        <v>720</v>
      </c>
      <c r="B31" s="361"/>
      <c r="C31" s="361"/>
      <c r="D31" s="361"/>
      <c r="E31" s="361"/>
      <c r="F31" s="361"/>
      <c r="G31" s="361"/>
      <c r="H31" s="361"/>
      <c r="I31" s="361"/>
    </row>
    <row r="32" spans="1:9" ht="15.6">
      <c r="A32" s="361" t="s">
        <v>777</v>
      </c>
      <c r="B32" s="361"/>
      <c r="C32" s="361"/>
      <c r="D32" s="361"/>
      <c r="E32" s="361"/>
      <c r="F32" s="361"/>
      <c r="G32" s="361"/>
      <c r="H32" s="361"/>
      <c r="I32" s="361"/>
    </row>
    <row r="33" spans="1:9" ht="15.6">
      <c r="A33" s="361"/>
      <c r="B33" s="361"/>
      <c r="C33" s="361"/>
      <c r="D33" s="361"/>
      <c r="E33" s="361"/>
      <c r="F33" s="361"/>
      <c r="G33" s="361"/>
      <c r="H33" s="361"/>
      <c r="I33" s="361"/>
    </row>
    <row r="34" spans="1:9" ht="15.6">
      <c r="A34" s="362" t="s">
        <v>778</v>
      </c>
      <c r="B34" s="362"/>
      <c r="C34" s="362"/>
      <c r="D34" s="362"/>
      <c r="E34" s="362"/>
      <c r="F34" s="362"/>
      <c r="G34" s="362"/>
      <c r="H34" s="362"/>
      <c r="I34" s="362"/>
    </row>
    <row r="35" spans="1:9" ht="15.6">
      <c r="A35" s="361"/>
      <c r="B35" s="361"/>
      <c r="C35" s="361"/>
      <c r="D35" s="361"/>
      <c r="E35" s="361"/>
      <c r="F35" s="361"/>
      <c r="G35" s="361"/>
      <c r="H35" s="361"/>
      <c r="I35" s="361"/>
    </row>
    <row r="36" spans="1:9" ht="15.6">
      <c r="A36" s="361" t="s">
        <v>779</v>
      </c>
      <c r="B36" s="361"/>
      <c r="C36" s="361"/>
      <c r="D36" s="361"/>
      <c r="E36" s="361"/>
      <c r="F36" s="361"/>
      <c r="G36" s="361"/>
      <c r="H36" s="361"/>
      <c r="I36" s="361"/>
    </row>
    <row r="37" spans="1:9" ht="12" customHeight="1">
      <c r="A37" s="361"/>
      <c r="B37" s="361"/>
      <c r="C37" s="361"/>
      <c r="D37" s="361"/>
      <c r="E37" s="361"/>
      <c r="F37" s="361"/>
      <c r="G37" s="361"/>
      <c r="H37" s="361"/>
      <c r="I37" s="361"/>
    </row>
    <row r="38" spans="1:9" ht="17.399999999999999">
      <c r="A38" s="371" t="s">
        <v>721</v>
      </c>
      <c r="B38" s="371"/>
      <c r="C38" s="371"/>
      <c r="D38" s="371"/>
      <c r="E38" s="371"/>
      <c r="F38" s="371"/>
      <c r="G38" s="371"/>
      <c r="H38" s="371"/>
      <c r="I38" s="371"/>
    </row>
    <row r="39" spans="1:9" ht="17.399999999999999">
      <c r="A39" s="371" t="s">
        <v>722</v>
      </c>
      <c r="B39" s="371"/>
      <c r="C39" s="371"/>
      <c r="D39" s="371"/>
      <c r="E39" s="371"/>
      <c r="F39" s="371"/>
      <c r="G39" s="371"/>
      <c r="H39" s="371"/>
      <c r="I39" s="371"/>
    </row>
    <row r="40" spans="1:9" ht="17.399999999999999">
      <c r="A40" s="371" t="s">
        <v>723</v>
      </c>
      <c r="B40" s="371"/>
      <c r="C40" s="371"/>
      <c r="D40" s="371"/>
      <c r="E40" s="371"/>
      <c r="F40" s="371"/>
      <c r="G40" s="371"/>
      <c r="H40" s="371"/>
      <c r="I40" s="371"/>
    </row>
    <row r="41" spans="1:9" ht="17.399999999999999">
      <c r="A41" s="371"/>
      <c r="B41" s="371"/>
      <c r="C41" s="371"/>
      <c r="D41" s="371"/>
      <c r="E41" s="371"/>
      <c r="F41" s="371"/>
      <c r="G41" s="371"/>
      <c r="H41" s="371"/>
      <c r="I41" s="371"/>
    </row>
    <row r="42" spans="1:9" ht="17.399999999999999">
      <c r="A42" s="144"/>
      <c r="B42" s="144"/>
      <c r="C42" s="144"/>
      <c r="E42" s="144"/>
      <c r="F42" s="144"/>
      <c r="G42" s="144"/>
      <c r="H42" s="144"/>
      <c r="I42" s="145"/>
    </row>
    <row r="43" spans="1:9" ht="17.399999999999999">
      <c r="A43" s="144"/>
      <c r="B43" s="144"/>
      <c r="C43" s="144"/>
      <c r="E43" s="144"/>
      <c r="F43" s="144"/>
      <c r="G43" s="144"/>
      <c r="H43" s="144"/>
      <c r="I43" s="145"/>
    </row>
    <row r="44" spans="1:9" ht="17.399999999999999">
      <c r="A44" s="144"/>
      <c r="B44" s="144"/>
      <c r="C44" s="144"/>
      <c r="E44" s="144"/>
      <c r="F44" s="144"/>
      <c r="G44" s="144"/>
      <c r="H44" s="144"/>
      <c r="I44" s="145"/>
    </row>
    <row r="45" spans="1:9" ht="17.399999999999999">
      <c r="A45" s="144"/>
      <c r="B45" s="144"/>
      <c r="C45" s="144"/>
      <c r="E45" s="144"/>
      <c r="F45" s="144"/>
      <c r="G45" s="144"/>
      <c r="H45" s="144"/>
      <c r="I45" s="145"/>
    </row>
    <row r="46" spans="1:9" ht="17.399999999999999">
      <c r="A46" s="144"/>
      <c r="B46" s="144"/>
      <c r="C46" s="144"/>
      <c r="E46" s="144"/>
      <c r="F46" s="144"/>
      <c r="G46" s="144"/>
      <c r="H46" s="144"/>
      <c r="I46" s="145"/>
    </row>
    <row r="47" spans="1:9" ht="17.399999999999999">
      <c r="A47" s="144"/>
      <c r="B47" s="144"/>
      <c r="C47" s="144"/>
      <c r="E47" s="144"/>
      <c r="F47" s="144"/>
      <c r="G47" s="144"/>
      <c r="H47" s="144"/>
      <c r="I47" s="145"/>
    </row>
    <row r="48" spans="1:9" ht="17.399999999999999">
      <c r="A48" s="144"/>
      <c r="B48" s="144"/>
      <c r="C48" s="144"/>
      <c r="E48" s="144"/>
      <c r="F48" s="144"/>
      <c r="G48" s="144"/>
      <c r="H48" s="144"/>
      <c r="I48" s="145"/>
    </row>
    <row r="49" spans="1:9" ht="17.399999999999999">
      <c r="A49" s="144"/>
      <c r="B49" s="144"/>
      <c r="C49" s="144"/>
      <c r="E49" s="144"/>
      <c r="F49" s="144"/>
      <c r="G49" s="144"/>
      <c r="H49" s="144"/>
      <c r="I49" s="145"/>
    </row>
    <row r="50" spans="1:9" ht="17.399999999999999">
      <c r="A50" s="144"/>
      <c r="B50" s="144"/>
      <c r="C50" s="144"/>
      <c r="E50" s="144"/>
      <c r="F50" s="144"/>
      <c r="G50" s="144"/>
      <c r="H50" s="144"/>
      <c r="I50" s="145"/>
    </row>
    <row r="51" spans="1:9" ht="17.399999999999999">
      <c r="A51" s="144"/>
      <c r="B51" s="144"/>
      <c r="C51" s="144"/>
      <c r="E51" s="144"/>
      <c r="F51" s="144"/>
      <c r="G51" s="144"/>
      <c r="H51" s="144"/>
      <c r="I51" s="145"/>
    </row>
    <row r="52" spans="1:9" ht="17.399999999999999">
      <c r="A52" s="144"/>
      <c r="B52" s="144"/>
      <c r="C52" s="144"/>
      <c r="E52" s="144"/>
      <c r="F52" s="144"/>
      <c r="G52" s="144"/>
      <c r="H52" s="144"/>
      <c r="I52" s="145"/>
    </row>
    <row r="53" spans="1:9" ht="17.399999999999999">
      <c r="A53" s="144"/>
      <c r="B53" s="144"/>
      <c r="C53" s="144"/>
      <c r="E53" s="144"/>
      <c r="F53" s="144"/>
      <c r="G53" s="144"/>
      <c r="H53" s="144"/>
      <c r="I53" s="145"/>
    </row>
    <row r="54" spans="1:9" ht="17.399999999999999">
      <c r="A54" s="144"/>
      <c r="B54" s="144"/>
      <c r="C54" s="144"/>
      <c r="E54" s="144"/>
      <c r="F54" s="144"/>
      <c r="G54" s="144"/>
      <c r="H54" s="144"/>
      <c r="I54" s="145"/>
    </row>
    <row r="55" spans="1:9" ht="17.399999999999999">
      <c r="A55" s="144"/>
      <c r="B55" s="144"/>
      <c r="C55" s="144"/>
      <c r="E55" s="144"/>
      <c r="F55" s="144"/>
      <c r="G55" s="144"/>
      <c r="H55" s="144"/>
      <c r="I55" s="145"/>
    </row>
    <row r="56" spans="1:9" ht="15.6">
      <c r="A56" s="368" t="s">
        <v>724</v>
      </c>
      <c r="B56" s="368"/>
      <c r="C56" s="368"/>
      <c r="D56" s="368"/>
      <c r="E56" s="368"/>
      <c r="F56" s="368"/>
      <c r="G56" s="368"/>
      <c r="H56" s="368"/>
      <c r="I56" s="368"/>
    </row>
    <row r="57" spans="1:9" ht="15.6">
      <c r="A57" s="368" t="s">
        <v>725</v>
      </c>
      <c r="B57" s="368"/>
      <c r="C57" s="368"/>
      <c r="D57" s="368"/>
      <c r="E57" s="368"/>
      <c r="F57" s="368"/>
      <c r="G57" s="368"/>
      <c r="H57" s="368"/>
      <c r="I57" s="368"/>
    </row>
    <row r="58" spans="1:9" ht="15.6">
      <c r="A58" s="361"/>
      <c r="B58" s="361"/>
      <c r="C58" s="361"/>
      <c r="D58" s="361"/>
      <c r="E58" s="361"/>
      <c r="F58" s="361"/>
      <c r="G58" s="361"/>
      <c r="H58" s="361"/>
      <c r="I58" s="361"/>
    </row>
    <row r="59" spans="1:9" ht="15.6">
      <c r="A59" s="369" t="s">
        <v>726</v>
      </c>
      <c r="B59" s="369"/>
      <c r="C59" s="369"/>
      <c r="D59" s="369"/>
      <c r="E59" s="369"/>
      <c r="F59" s="369"/>
      <c r="G59" s="369"/>
      <c r="H59" s="369"/>
      <c r="I59" s="369"/>
    </row>
    <row r="60" spans="1:9" ht="69.75" customHeight="1">
      <c r="A60" s="370" t="s">
        <v>727</v>
      </c>
      <c r="B60" s="370"/>
      <c r="C60" s="370"/>
      <c r="D60" s="370"/>
      <c r="E60" s="370"/>
      <c r="F60" s="370"/>
      <c r="G60" s="370"/>
      <c r="H60" s="370"/>
      <c r="I60" s="370"/>
    </row>
    <row r="61" spans="1:9" ht="15.6">
      <c r="A61" s="369"/>
      <c r="B61" s="369"/>
      <c r="C61" s="369"/>
      <c r="D61" s="369"/>
      <c r="E61" s="369"/>
      <c r="F61" s="369"/>
      <c r="G61" s="369"/>
      <c r="H61" s="369"/>
      <c r="I61" s="369"/>
    </row>
    <row r="62" spans="1:9" ht="18.75" customHeight="1">
      <c r="A62" s="369" t="s">
        <v>728</v>
      </c>
      <c r="B62" s="369"/>
      <c r="C62" s="369"/>
      <c r="D62" s="369"/>
      <c r="E62" s="369"/>
      <c r="F62" s="369"/>
      <c r="G62" s="369"/>
      <c r="H62" s="369"/>
      <c r="I62" s="369"/>
    </row>
    <row r="63" spans="1:9" ht="17.25" customHeight="1">
      <c r="A63" s="369" t="s">
        <v>729</v>
      </c>
      <c r="B63" s="369"/>
      <c r="C63" s="369"/>
      <c r="D63" s="369"/>
      <c r="E63" s="369"/>
      <c r="F63" s="369"/>
      <c r="G63" s="369"/>
      <c r="H63" s="369"/>
      <c r="I63" s="369"/>
    </row>
    <row r="64" spans="1:9" ht="122.25" customHeight="1">
      <c r="A64" s="370" t="s">
        <v>730</v>
      </c>
      <c r="B64" s="370"/>
      <c r="C64" s="370"/>
      <c r="D64" s="370"/>
      <c r="E64" s="370"/>
      <c r="F64" s="370"/>
      <c r="G64" s="370"/>
      <c r="H64" s="370"/>
      <c r="I64" s="370"/>
    </row>
    <row r="65" spans="1:9" ht="24.75" customHeight="1">
      <c r="A65" s="369" t="s">
        <v>731</v>
      </c>
      <c r="B65" s="369"/>
      <c r="C65" s="369"/>
      <c r="D65" s="369"/>
      <c r="E65" s="369"/>
      <c r="F65" s="369"/>
      <c r="G65" s="369"/>
      <c r="H65" s="369"/>
      <c r="I65" s="369"/>
    </row>
    <row r="66" spans="1:9" ht="93" customHeight="1">
      <c r="A66" s="364" t="s">
        <v>732</v>
      </c>
      <c r="B66" s="364"/>
      <c r="C66" s="364"/>
      <c r="D66" s="364"/>
      <c r="E66" s="364"/>
      <c r="F66" s="364"/>
      <c r="G66" s="364"/>
      <c r="H66" s="364"/>
      <c r="I66" s="364"/>
    </row>
    <row r="67" spans="1:9" ht="30.9" customHeight="1">
      <c r="A67" s="369" t="s">
        <v>733</v>
      </c>
      <c r="B67" s="369"/>
      <c r="C67" s="369"/>
      <c r="D67" s="369"/>
      <c r="E67" s="369"/>
      <c r="F67" s="369"/>
      <c r="G67" s="369"/>
      <c r="H67" s="369"/>
      <c r="I67" s="369"/>
    </row>
    <row r="68" spans="1:9" ht="128.25" customHeight="1">
      <c r="A68" s="369" t="s">
        <v>734</v>
      </c>
      <c r="B68" s="369"/>
      <c r="C68" s="369"/>
      <c r="D68" s="369"/>
      <c r="E68" s="369"/>
      <c r="F68" s="369"/>
      <c r="G68" s="369"/>
      <c r="H68" s="369"/>
      <c r="I68" s="369"/>
    </row>
    <row r="69" spans="1:9" ht="15.6">
      <c r="A69" s="372" t="s">
        <v>735</v>
      </c>
      <c r="B69" s="372"/>
      <c r="C69" s="372"/>
      <c r="D69" s="372"/>
      <c r="E69" s="372"/>
      <c r="F69" s="372"/>
      <c r="G69" s="372"/>
      <c r="H69" s="372"/>
      <c r="I69" s="372"/>
    </row>
    <row r="70" spans="1:9" ht="63.75" customHeight="1">
      <c r="A70" s="369" t="s">
        <v>736</v>
      </c>
      <c r="B70" s="369"/>
      <c r="C70" s="369"/>
      <c r="D70" s="369"/>
      <c r="E70" s="369"/>
      <c r="F70" s="369"/>
      <c r="G70" s="369"/>
      <c r="H70" s="369"/>
      <c r="I70" s="369"/>
    </row>
    <row r="71" spans="1:9" ht="38.25" customHeight="1">
      <c r="A71" s="369" t="s">
        <v>737</v>
      </c>
      <c r="B71" s="369"/>
      <c r="C71" s="369"/>
      <c r="D71" s="369"/>
      <c r="E71" s="369"/>
      <c r="F71" s="369"/>
      <c r="G71" s="369"/>
      <c r="H71" s="369"/>
      <c r="I71" s="369"/>
    </row>
    <row r="72" spans="1:9" ht="54" customHeight="1">
      <c r="A72" s="369" t="s">
        <v>738</v>
      </c>
      <c r="B72" s="369"/>
      <c r="C72" s="369"/>
      <c r="D72" s="369"/>
      <c r="E72" s="369"/>
      <c r="F72" s="369"/>
      <c r="G72" s="369"/>
      <c r="H72" s="369"/>
      <c r="I72" s="369"/>
    </row>
    <row r="73" spans="1:9" ht="15.6">
      <c r="A73" s="372" t="s">
        <v>739</v>
      </c>
      <c r="B73" s="372"/>
      <c r="C73" s="372"/>
      <c r="D73" s="372"/>
      <c r="E73" s="372"/>
      <c r="F73" s="372"/>
      <c r="G73" s="372"/>
      <c r="H73" s="372"/>
      <c r="I73" s="372"/>
    </row>
    <row r="74" spans="1:9" ht="18.75" customHeight="1">
      <c r="A74" s="369" t="s">
        <v>740</v>
      </c>
      <c r="B74" s="369"/>
      <c r="C74" s="369"/>
      <c r="D74" s="369"/>
      <c r="E74" s="369"/>
      <c r="F74" s="369"/>
      <c r="G74" s="369"/>
      <c r="H74" s="369"/>
      <c r="I74" s="369"/>
    </row>
    <row r="75" spans="1:9" ht="33" customHeight="1">
      <c r="A75" s="369" t="s">
        <v>741</v>
      </c>
      <c r="B75" s="369"/>
      <c r="C75" s="369"/>
      <c r="D75" s="369"/>
      <c r="E75" s="369"/>
      <c r="F75" s="369"/>
      <c r="G75" s="369"/>
      <c r="H75" s="369"/>
      <c r="I75" s="369"/>
    </row>
    <row r="76" spans="1:9" ht="15.6">
      <c r="A76" s="369" t="s">
        <v>742</v>
      </c>
      <c r="B76" s="369"/>
      <c r="C76" s="369"/>
      <c r="D76" s="369"/>
      <c r="E76" s="369"/>
      <c r="F76" s="369"/>
      <c r="G76" s="369"/>
      <c r="H76" s="369"/>
      <c r="I76" s="369"/>
    </row>
    <row r="77" spans="1:9" ht="15.6">
      <c r="A77" s="146" t="s">
        <v>743</v>
      </c>
    </row>
    <row r="78" spans="1:9" ht="33.75" customHeight="1">
      <c r="A78" s="369" t="s">
        <v>744</v>
      </c>
      <c r="B78" s="369"/>
      <c r="C78" s="369"/>
      <c r="D78" s="369"/>
      <c r="E78" s="369"/>
      <c r="F78" s="369"/>
      <c r="G78" s="369"/>
      <c r="H78" s="369"/>
      <c r="I78" s="369"/>
    </row>
    <row r="79" spans="1:9" ht="12" customHeight="1">
      <c r="A79" s="156"/>
      <c r="B79" s="156"/>
      <c r="C79" s="156"/>
      <c r="D79" s="156"/>
      <c r="E79" s="156"/>
      <c r="F79" s="156"/>
      <c r="G79" s="156"/>
      <c r="H79" s="156"/>
      <c r="I79" s="156"/>
    </row>
    <row r="80" spans="1:9" ht="15.6">
      <c r="A80" s="369" t="s">
        <v>745</v>
      </c>
      <c r="B80" s="369"/>
      <c r="C80" s="369"/>
      <c r="D80" s="369"/>
      <c r="E80" s="369"/>
      <c r="F80" s="369"/>
      <c r="G80" s="369"/>
      <c r="H80" s="369"/>
      <c r="I80" s="369"/>
    </row>
    <row r="81" spans="1:9" ht="15.6">
      <c r="A81" s="357" t="s">
        <v>746</v>
      </c>
      <c r="B81" s="357"/>
      <c r="C81" s="357"/>
      <c r="D81" s="357"/>
      <c r="E81" s="357"/>
      <c r="F81" s="357"/>
      <c r="G81" s="357"/>
      <c r="H81" s="357"/>
      <c r="I81" s="357"/>
    </row>
    <row r="82" spans="1:9" ht="15.6">
      <c r="A82" s="147"/>
      <c r="B82" s="147"/>
      <c r="C82" s="147"/>
      <c r="D82" s="147"/>
      <c r="E82" s="147"/>
      <c r="F82" s="147"/>
      <c r="G82" s="147"/>
      <c r="H82" s="147"/>
      <c r="I82" s="148"/>
    </row>
    <row r="83" spans="1:9" ht="15.6">
      <c r="A83" s="368" t="s">
        <v>747</v>
      </c>
      <c r="B83" s="368"/>
      <c r="C83" s="368"/>
      <c r="D83" s="368"/>
      <c r="E83" s="368"/>
      <c r="F83" s="368"/>
      <c r="G83" s="368"/>
      <c r="H83" s="368"/>
      <c r="I83" s="368"/>
    </row>
    <row r="84" spans="1:9" ht="15.6">
      <c r="A84" s="155"/>
      <c r="B84" s="155"/>
      <c r="C84" s="155"/>
      <c r="D84" s="377" t="s">
        <v>1529</v>
      </c>
      <c r="E84" s="377"/>
      <c r="F84" s="377"/>
      <c r="G84" s="377"/>
      <c r="H84" s="155"/>
      <c r="I84" s="155"/>
    </row>
    <row r="85" spans="1:9" ht="8.25" customHeight="1">
      <c r="A85" s="95"/>
      <c r="D85" s="378" t="s">
        <v>780</v>
      </c>
      <c r="E85" s="378"/>
      <c r="F85" s="378"/>
      <c r="G85" s="378"/>
    </row>
    <row r="86" spans="1:9" ht="15.6">
      <c r="A86" s="157"/>
      <c r="D86" s="165"/>
      <c r="E86" s="165"/>
      <c r="F86" s="165"/>
      <c r="G86" s="165"/>
    </row>
    <row r="87" spans="1:9" ht="15.6">
      <c r="A87" s="373" t="s">
        <v>42</v>
      </c>
      <c r="B87" s="373"/>
      <c r="C87" s="373"/>
      <c r="D87" s="373"/>
      <c r="E87" s="373"/>
      <c r="F87" s="373"/>
      <c r="G87" s="373"/>
      <c r="H87" s="373"/>
      <c r="I87" s="149" t="s">
        <v>748</v>
      </c>
    </row>
    <row r="88" spans="1:9" ht="15.6">
      <c r="A88" s="374" t="s">
        <v>825</v>
      </c>
      <c r="B88" s="374"/>
      <c r="C88" s="374"/>
      <c r="D88" s="374"/>
      <c r="E88" s="374"/>
      <c r="F88" s="374"/>
      <c r="G88" s="374"/>
      <c r="H88" s="374"/>
      <c r="I88" s="167">
        <f>I90+I96</f>
        <v>235405996.59</v>
      </c>
    </row>
    <row r="89" spans="1:9" ht="15.6">
      <c r="A89" s="375" t="s">
        <v>749</v>
      </c>
      <c r="B89" s="375"/>
      <c r="C89" s="375"/>
      <c r="D89" s="375"/>
      <c r="E89" s="375"/>
      <c r="F89" s="375"/>
      <c r="G89" s="375"/>
      <c r="H89" s="375"/>
      <c r="I89" s="154"/>
    </row>
    <row r="90" spans="1:9" ht="30.9" customHeight="1">
      <c r="A90" s="376" t="s">
        <v>750</v>
      </c>
      <c r="B90" s="376"/>
      <c r="C90" s="376"/>
      <c r="D90" s="376"/>
      <c r="E90" s="376"/>
      <c r="F90" s="376"/>
      <c r="G90" s="376"/>
      <c r="H90" s="376"/>
      <c r="I90" s="152">
        <f>I92</f>
        <v>98717742.780000001</v>
      </c>
    </row>
    <row r="91" spans="1:9" ht="15.6">
      <c r="A91" s="376" t="s">
        <v>115</v>
      </c>
      <c r="B91" s="376"/>
      <c r="C91" s="376"/>
      <c r="D91" s="376"/>
      <c r="E91" s="376"/>
      <c r="F91" s="376"/>
      <c r="G91" s="376"/>
      <c r="H91" s="376"/>
      <c r="I91" s="154"/>
    </row>
    <row r="92" spans="1:9" ht="50.4" customHeight="1">
      <c r="A92" s="379" t="s">
        <v>751</v>
      </c>
      <c r="B92" s="379"/>
      <c r="C92" s="379"/>
      <c r="D92" s="379"/>
      <c r="E92" s="379"/>
      <c r="F92" s="379"/>
      <c r="G92" s="379"/>
      <c r="H92" s="379"/>
      <c r="I92" s="152">
        <v>98717742.780000001</v>
      </c>
    </row>
    <row r="93" spans="1:9" ht="45.9" customHeight="1">
      <c r="A93" s="379" t="s">
        <v>772</v>
      </c>
      <c r="B93" s="379"/>
      <c r="C93" s="379"/>
      <c r="D93" s="379"/>
      <c r="E93" s="379"/>
      <c r="F93" s="379"/>
      <c r="G93" s="379"/>
      <c r="H93" s="379"/>
      <c r="I93" s="154"/>
    </row>
    <row r="94" spans="1:9" ht="48.75" customHeight="1">
      <c r="A94" s="379" t="s">
        <v>752</v>
      </c>
      <c r="B94" s="379"/>
      <c r="C94" s="379"/>
      <c r="D94" s="379"/>
      <c r="E94" s="379"/>
      <c r="F94" s="379"/>
      <c r="G94" s="379"/>
      <c r="H94" s="379"/>
      <c r="I94" s="154"/>
    </row>
    <row r="95" spans="1:9" ht="30.75" customHeight="1">
      <c r="A95" s="379" t="s">
        <v>753</v>
      </c>
      <c r="B95" s="379"/>
      <c r="C95" s="379"/>
      <c r="D95" s="379"/>
      <c r="E95" s="379"/>
      <c r="F95" s="379"/>
      <c r="G95" s="379"/>
      <c r="H95" s="379"/>
      <c r="I95" s="152">
        <v>48079452.859999999</v>
      </c>
    </row>
    <row r="96" spans="1:9" ht="29.55" customHeight="1">
      <c r="A96" s="376" t="s">
        <v>754</v>
      </c>
      <c r="B96" s="376"/>
      <c r="C96" s="376"/>
      <c r="D96" s="376"/>
      <c r="E96" s="376"/>
      <c r="F96" s="376"/>
      <c r="G96" s="376"/>
      <c r="H96" s="376"/>
      <c r="I96" s="152">
        <v>136688253.81</v>
      </c>
    </row>
    <row r="97" spans="1:9" ht="15.6">
      <c r="A97" s="379" t="s">
        <v>313</v>
      </c>
      <c r="B97" s="379"/>
      <c r="C97" s="379"/>
      <c r="D97" s="379"/>
      <c r="E97" s="379"/>
      <c r="F97" s="379"/>
      <c r="G97" s="379"/>
      <c r="H97" s="379"/>
      <c r="I97" s="154"/>
    </row>
    <row r="98" spans="1:9" ht="24" customHeight="1">
      <c r="A98" s="379" t="s">
        <v>755</v>
      </c>
      <c r="B98" s="379"/>
      <c r="C98" s="379"/>
      <c r="D98" s="379"/>
      <c r="E98" s="379"/>
      <c r="F98" s="379"/>
      <c r="G98" s="379"/>
      <c r="H98" s="379"/>
      <c r="I98" s="152">
        <v>102540303.08</v>
      </c>
    </row>
    <row r="99" spans="1:9" ht="21" customHeight="1">
      <c r="A99" s="379" t="s">
        <v>756</v>
      </c>
      <c r="B99" s="379"/>
      <c r="C99" s="379"/>
      <c r="D99" s="379"/>
      <c r="E99" s="379"/>
      <c r="F99" s="379"/>
      <c r="G99" s="379"/>
      <c r="H99" s="379"/>
      <c r="I99" s="152">
        <v>36264911.310000002</v>
      </c>
    </row>
    <row r="100" spans="1:9" ht="15.6">
      <c r="A100" s="374" t="s">
        <v>757</v>
      </c>
      <c r="B100" s="374"/>
      <c r="C100" s="374"/>
      <c r="D100" s="374"/>
      <c r="E100" s="374"/>
      <c r="F100" s="374"/>
      <c r="G100" s="374"/>
      <c r="H100" s="374"/>
      <c r="I100" s="166">
        <f>I102+I106+I107+I108+I120</f>
        <v>14379828.82</v>
      </c>
    </row>
    <row r="101" spans="1:9" ht="15.6">
      <c r="A101" s="375" t="s">
        <v>749</v>
      </c>
      <c r="B101" s="375"/>
      <c r="C101" s="375"/>
      <c r="D101" s="375"/>
      <c r="E101" s="375"/>
      <c r="F101" s="375"/>
      <c r="G101" s="375"/>
      <c r="H101" s="375"/>
      <c r="I101" s="154"/>
    </row>
    <row r="102" spans="1:9" ht="23.25" customHeight="1">
      <c r="A102" s="376" t="s">
        <v>781</v>
      </c>
      <c r="B102" s="376"/>
      <c r="C102" s="376"/>
      <c r="D102" s="376"/>
      <c r="E102" s="376"/>
      <c r="F102" s="376"/>
      <c r="G102" s="376"/>
      <c r="H102" s="376"/>
      <c r="I102" s="153">
        <f>SUM(I104:I105)</f>
        <v>13390458.810000001</v>
      </c>
    </row>
    <row r="103" spans="1:9" ht="15.6">
      <c r="A103" s="375" t="s">
        <v>313</v>
      </c>
      <c r="B103" s="375"/>
      <c r="C103" s="375"/>
      <c r="D103" s="375"/>
      <c r="E103" s="375"/>
      <c r="F103" s="375"/>
      <c r="G103" s="375"/>
      <c r="H103" s="375"/>
      <c r="I103" s="154"/>
    </row>
    <row r="104" spans="1:9" ht="15.6">
      <c r="A104" s="380" t="s">
        <v>782</v>
      </c>
      <c r="B104" s="381"/>
      <c r="C104" s="381"/>
      <c r="D104" s="381"/>
      <c r="E104" s="381"/>
      <c r="F104" s="381"/>
      <c r="G104" s="381"/>
      <c r="H104" s="382"/>
      <c r="I104" s="219">
        <f>8944762.65+4445696.16</f>
        <v>13390458.810000001</v>
      </c>
    </row>
    <row r="105" spans="1:9" ht="15.6">
      <c r="A105" s="383" t="s">
        <v>783</v>
      </c>
      <c r="B105" s="384"/>
      <c r="C105" s="384"/>
      <c r="D105" s="384"/>
      <c r="E105" s="384"/>
      <c r="F105" s="384"/>
      <c r="G105" s="384"/>
      <c r="H105" s="385"/>
      <c r="I105" s="153"/>
    </row>
    <row r="106" spans="1:9" ht="15.6">
      <c r="A106" s="386" t="s">
        <v>784</v>
      </c>
      <c r="B106" s="387"/>
      <c r="C106" s="387"/>
      <c r="D106" s="387"/>
      <c r="E106" s="387"/>
      <c r="F106" s="387"/>
      <c r="G106" s="387"/>
      <c r="H106" s="388"/>
      <c r="I106" s="153"/>
    </row>
    <row r="107" spans="1:9" ht="15.6">
      <c r="A107" s="383" t="s">
        <v>785</v>
      </c>
      <c r="B107" s="384"/>
      <c r="C107" s="384"/>
      <c r="D107" s="384"/>
      <c r="E107" s="384"/>
      <c r="F107" s="384"/>
      <c r="G107" s="384"/>
      <c r="H107" s="385"/>
      <c r="I107" s="153"/>
    </row>
    <row r="108" spans="1:9" ht="15.6">
      <c r="A108" s="383" t="s">
        <v>786</v>
      </c>
      <c r="B108" s="384"/>
      <c r="C108" s="384"/>
      <c r="D108" s="384"/>
      <c r="E108" s="384"/>
      <c r="F108" s="384"/>
      <c r="G108" s="384"/>
      <c r="H108" s="385"/>
      <c r="I108" s="153"/>
    </row>
    <row r="109" spans="1:9" ht="15.6">
      <c r="A109" s="383" t="s">
        <v>115</v>
      </c>
      <c r="B109" s="384"/>
      <c r="C109" s="384"/>
      <c r="D109" s="384"/>
      <c r="E109" s="384"/>
      <c r="F109" s="384"/>
      <c r="G109" s="384"/>
      <c r="H109" s="385"/>
      <c r="I109" s="153"/>
    </row>
    <row r="110" spans="1:9" ht="15.6">
      <c r="A110" s="375" t="s">
        <v>787</v>
      </c>
      <c r="B110" s="375"/>
      <c r="C110" s="375"/>
      <c r="D110" s="375"/>
      <c r="E110" s="375"/>
      <c r="F110" s="375"/>
      <c r="G110" s="375"/>
      <c r="H110" s="375"/>
      <c r="I110" s="153"/>
    </row>
    <row r="111" spans="1:9" ht="15.6">
      <c r="A111" s="375" t="s">
        <v>788</v>
      </c>
      <c r="B111" s="375"/>
      <c r="C111" s="375"/>
      <c r="D111" s="375"/>
      <c r="E111" s="375"/>
      <c r="F111" s="375"/>
      <c r="G111" s="375"/>
      <c r="H111" s="375"/>
      <c r="I111" s="153"/>
    </row>
    <row r="112" spans="1:9" ht="15.6">
      <c r="A112" s="375" t="s">
        <v>789</v>
      </c>
      <c r="B112" s="375"/>
      <c r="C112" s="375"/>
      <c r="D112" s="375"/>
      <c r="E112" s="375"/>
      <c r="F112" s="375"/>
      <c r="G112" s="375"/>
      <c r="H112" s="375"/>
      <c r="I112" s="153"/>
    </row>
    <row r="113" spans="1:9" ht="15.6">
      <c r="A113" s="375" t="s">
        <v>790</v>
      </c>
      <c r="B113" s="375"/>
      <c r="C113" s="375"/>
      <c r="D113" s="375"/>
      <c r="E113" s="375"/>
      <c r="F113" s="375"/>
      <c r="G113" s="375"/>
      <c r="H113" s="375"/>
      <c r="I113" s="153"/>
    </row>
    <row r="114" spans="1:9" ht="15.6">
      <c r="A114" s="375" t="s">
        <v>791</v>
      </c>
      <c r="B114" s="375"/>
      <c r="C114" s="375"/>
      <c r="D114" s="375"/>
      <c r="E114" s="375"/>
      <c r="F114" s="375"/>
      <c r="G114" s="375"/>
      <c r="H114" s="375"/>
      <c r="I114" s="153"/>
    </row>
    <row r="115" spans="1:9" ht="15.6">
      <c r="A115" s="375" t="s">
        <v>792</v>
      </c>
      <c r="B115" s="375"/>
      <c r="C115" s="375"/>
      <c r="D115" s="375"/>
      <c r="E115" s="375"/>
      <c r="F115" s="375"/>
      <c r="G115" s="375"/>
      <c r="H115" s="375"/>
      <c r="I115" s="153"/>
    </row>
    <row r="116" spans="1:9" ht="15.6">
      <c r="A116" s="375" t="s">
        <v>793</v>
      </c>
      <c r="B116" s="375"/>
      <c r="C116" s="375"/>
      <c r="D116" s="375"/>
      <c r="E116" s="375"/>
      <c r="F116" s="375"/>
      <c r="G116" s="375"/>
      <c r="H116" s="375"/>
      <c r="I116" s="153"/>
    </row>
    <row r="117" spans="1:9" ht="15.6">
      <c r="A117" s="375" t="s">
        <v>794</v>
      </c>
      <c r="B117" s="375"/>
      <c r="C117" s="375"/>
      <c r="D117" s="375"/>
      <c r="E117" s="375"/>
      <c r="F117" s="375"/>
      <c r="G117" s="375"/>
      <c r="H117" s="375"/>
      <c r="I117" s="153"/>
    </row>
    <row r="118" spans="1:9" ht="15.6">
      <c r="A118" s="375" t="s">
        <v>795</v>
      </c>
      <c r="B118" s="375"/>
      <c r="C118" s="375"/>
      <c r="D118" s="375"/>
      <c r="E118" s="375"/>
      <c r="F118" s="375"/>
      <c r="G118" s="375"/>
      <c r="H118" s="375"/>
      <c r="I118" s="154"/>
    </row>
    <row r="119" spans="1:9" ht="15.6">
      <c r="A119" s="375" t="s">
        <v>796</v>
      </c>
      <c r="B119" s="375"/>
      <c r="C119" s="375"/>
      <c r="D119" s="375"/>
      <c r="E119" s="375"/>
      <c r="F119" s="375"/>
      <c r="G119" s="375"/>
      <c r="H119" s="375"/>
      <c r="I119" s="154"/>
    </row>
    <row r="120" spans="1:9" ht="34.049999999999997" customHeight="1">
      <c r="A120" s="389" t="s">
        <v>797</v>
      </c>
      <c r="B120" s="390"/>
      <c r="C120" s="390"/>
      <c r="D120" s="390"/>
      <c r="E120" s="390"/>
      <c r="F120" s="390"/>
      <c r="G120" s="390"/>
      <c r="H120" s="391"/>
      <c r="I120" s="153">
        <v>989370.01</v>
      </c>
    </row>
    <row r="121" spans="1:9" ht="15.6">
      <c r="A121" s="375" t="s">
        <v>313</v>
      </c>
      <c r="B121" s="375"/>
      <c r="C121" s="375"/>
      <c r="D121" s="375"/>
      <c r="E121" s="375"/>
      <c r="F121" s="375"/>
      <c r="G121" s="375"/>
      <c r="H121" s="375"/>
      <c r="I121" s="154"/>
    </row>
    <row r="122" spans="1:9" ht="15.6">
      <c r="A122" s="375" t="s">
        <v>798</v>
      </c>
      <c r="B122" s="375"/>
      <c r="C122" s="375"/>
      <c r="D122" s="375"/>
      <c r="E122" s="375"/>
      <c r="F122" s="375"/>
      <c r="G122" s="375"/>
      <c r="H122" s="375"/>
      <c r="I122" s="153"/>
    </row>
    <row r="123" spans="1:9" ht="15.6">
      <c r="A123" s="375" t="s">
        <v>799</v>
      </c>
      <c r="B123" s="375"/>
      <c r="C123" s="375"/>
      <c r="D123" s="375"/>
      <c r="E123" s="375"/>
      <c r="F123" s="375"/>
      <c r="G123" s="375"/>
      <c r="H123" s="375"/>
      <c r="I123" s="154"/>
    </row>
    <row r="124" spans="1:9" ht="15.6">
      <c r="A124" s="375" t="s">
        <v>800</v>
      </c>
      <c r="B124" s="375"/>
      <c r="C124" s="375"/>
      <c r="D124" s="375"/>
      <c r="E124" s="375"/>
      <c r="F124" s="375"/>
      <c r="G124" s="375"/>
      <c r="H124" s="375"/>
      <c r="I124" s="153">
        <v>989370.01</v>
      </c>
    </row>
    <row r="125" spans="1:9" ht="15.6">
      <c r="A125" s="375" t="s">
        <v>801</v>
      </c>
      <c r="B125" s="375"/>
      <c r="C125" s="375"/>
      <c r="D125" s="375"/>
      <c r="E125" s="375"/>
      <c r="F125" s="375"/>
      <c r="G125" s="375"/>
      <c r="H125" s="375"/>
      <c r="I125" s="154"/>
    </row>
    <row r="126" spans="1:9" ht="15.6">
      <c r="A126" s="375" t="s">
        <v>802</v>
      </c>
      <c r="B126" s="375"/>
      <c r="C126" s="375"/>
      <c r="D126" s="375"/>
      <c r="E126" s="375"/>
      <c r="F126" s="375"/>
      <c r="G126" s="375"/>
      <c r="H126" s="375"/>
      <c r="I126" s="154"/>
    </row>
    <row r="127" spans="1:9" ht="15.6">
      <c r="A127" s="375" t="s">
        <v>803</v>
      </c>
      <c r="B127" s="375"/>
      <c r="C127" s="375"/>
      <c r="D127" s="375"/>
      <c r="E127" s="375"/>
      <c r="F127" s="375"/>
      <c r="G127" s="375"/>
      <c r="H127" s="375"/>
      <c r="I127" s="154"/>
    </row>
    <row r="128" spans="1:9" ht="15.6">
      <c r="A128" s="375" t="s">
        <v>804</v>
      </c>
      <c r="B128" s="375"/>
      <c r="C128" s="375"/>
      <c r="D128" s="375"/>
      <c r="E128" s="375"/>
      <c r="F128" s="375"/>
      <c r="G128" s="375"/>
      <c r="H128" s="375"/>
      <c r="I128" s="154"/>
    </row>
    <row r="129" spans="1:9" ht="15.6">
      <c r="A129" s="375" t="s">
        <v>805</v>
      </c>
      <c r="B129" s="375"/>
      <c r="C129" s="375"/>
      <c r="D129" s="375"/>
      <c r="E129" s="375"/>
      <c r="F129" s="375"/>
      <c r="G129" s="375"/>
      <c r="H129" s="375"/>
      <c r="I129" s="154"/>
    </row>
    <row r="130" spans="1:9" ht="15.6">
      <c r="A130" s="375" t="s">
        <v>806</v>
      </c>
      <c r="B130" s="375"/>
      <c r="C130" s="375"/>
      <c r="D130" s="375"/>
      <c r="E130" s="375"/>
      <c r="F130" s="375"/>
      <c r="G130" s="375"/>
      <c r="H130" s="375"/>
      <c r="I130" s="153"/>
    </row>
    <row r="131" spans="1:9" ht="15.6">
      <c r="A131" s="375" t="s">
        <v>807</v>
      </c>
      <c r="B131" s="375"/>
      <c r="C131" s="375"/>
      <c r="D131" s="375"/>
      <c r="E131" s="375"/>
      <c r="F131" s="375"/>
      <c r="G131" s="375"/>
      <c r="H131" s="375"/>
      <c r="I131" s="154"/>
    </row>
    <row r="132" spans="1:9" ht="15.6">
      <c r="A132" s="374" t="s">
        <v>758</v>
      </c>
      <c r="B132" s="374"/>
      <c r="C132" s="374"/>
      <c r="D132" s="374"/>
      <c r="E132" s="374"/>
      <c r="F132" s="374"/>
      <c r="G132" s="374"/>
      <c r="H132" s="374"/>
      <c r="I132" s="167">
        <f>I134+I135+I136+I151</f>
        <v>7805334.2699999996</v>
      </c>
    </row>
    <row r="133" spans="1:9" ht="15.6">
      <c r="A133" s="375" t="s">
        <v>749</v>
      </c>
      <c r="B133" s="375"/>
      <c r="C133" s="375"/>
      <c r="D133" s="375"/>
      <c r="E133" s="375"/>
      <c r="F133" s="375"/>
      <c r="G133" s="375"/>
      <c r="H133" s="375"/>
      <c r="I133" s="154"/>
    </row>
    <row r="134" spans="1:9" ht="15.6">
      <c r="A134" s="375" t="s">
        <v>808</v>
      </c>
      <c r="B134" s="375"/>
      <c r="C134" s="375"/>
      <c r="D134" s="375"/>
      <c r="E134" s="375"/>
      <c r="F134" s="375"/>
      <c r="G134" s="375"/>
      <c r="H134" s="375"/>
      <c r="I134" s="152"/>
    </row>
    <row r="135" spans="1:9" ht="19.5" customHeight="1">
      <c r="A135" s="389" t="s">
        <v>809</v>
      </c>
      <c r="B135" s="390"/>
      <c r="C135" s="390"/>
      <c r="D135" s="390"/>
      <c r="E135" s="390"/>
      <c r="F135" s="390"/>
      <c r="G135" s="390"/>
      <c r="H135" s="391"/>
      <c r="I135" s="153"/>
    </row>
    <row r="136" spans="1:9" ht="30.9" customHeight="1">
      <c r="A136" s="383" t="s">
        <v>810</v>
      </c>
      <c r="B136" s="384"/>
      <c r="C136" s="384"/>
      <c r="D136" s="384"/>
      <c r="E136" s="384"/>
      <c r="F136" s="384"/>
      <c r="G136" s="384"/>
      <c r="H136" s="385"/>
      <c r="I136" s="153">
        <v>0</v>
      </c>
    </row>
    <row r="137" spans="1:9" ht="15.6">
      <c r="A137" s="376" t="s">
        <v>313</v>
      </c>
      <c r="B137" s="376"/>
      <c r="C137" s="376"/>
      <c r="D137" s="376"/>
      <c r="E137" s="376"/>
      <c r="F137" s="376"/>
      <c r="G137" s="376"/>
      <c r="H137" s="376"/>
      <c r="I137" s="153"/>
    </row>
    <row r="138" spans="1:9" ht="15.6">
      <c r="A138" s="375" t="s">
        <v>759</v>
      </c>
      <c r="B138" s="375"/>
      <c r="C138" s="375"/>
      <c r="D138" s="375"/>
      <c r="E138" s="375"/>
      <c r="F138" s="375"/>
      <c r="G138" s="375"/>
      <c r="H138" s="375"/>
      <c r="I138" s="153"/>
    </row>
    <row r="139" spans="1:9" ht="15.6">
      <c r="A139" s="375" t="s">
        <v>760</v>
      </c>
      <c r="B139" s="375"/>
      <c r="C139" s="375"/>
      <c r="D139" s="375"/>
      <c r="E139" s="375"/>
      <c r="F139" s="375"/>
      <c r="G139" s="375"/>
      <c r="H139" s="375"/>
      <c r="I139" s="153"/>
    </row>
    <row r="140" spans="1:9" ht="15.6">
      <c r="A140" s="375" t="s">
        <v>761</v>
      </c>
      <c r="B140" s="375"/>
      <c r="C140" s="375"/>
      <c r="D140" s="375"/>
      <c r="E140" s="375"/>
      <c r="F140" s="375"/>
      <c r="G140" s="375"/>
      <c r="H140" s="375"/>
      <c r="I140" s="153"/>
    </row>
    <row r="141" spans="1:9" ht="15.6">
      <c r="A141" s="375" t="s">
        <v>762</v>
      </c>
      <c r="B141" s="375"/>
      <c r="C141" s="375"/>
      <c r="D141" s="375"/>
      <c r="E141" s="375"/>
      <c r="F141" s="375"/>
      <c r="G141" s="375"/>
      <c r="H141" s="375"/>
      <c r="I141" s="153"/>
    </row>
    <row r="142" spans="1:9" ht="15.6">
      <c r="A142" s="375" t="s">
        <v>763</v>
      </c>
      <c r="B142" s="375"/>
      <c r="C142" s="375"/>
      <c r="D142" s="375"/>
      <c r="E142" s="375"/>
      <c r="F142" s="375"/>
      <c r="G142" s="375"/>
      <c r="H142" s="375"/>
      <c r="I142" s="153"/>
    </row>
    <row r="143" spans="1:9" ht="15.6">
      <c r="A143" s="375" t="s">
        <v>764</v>
      </c>
      <c r="B143" s="375"/>
      <c r="C143" s="375"/>
      <c r="D143" s="375"/>
      <c r="E143" s="375"/>
      <c r="F143" s="375"/>
      <c r="G143" s="375"/>
      <c r="H143" s="375"/>
      <c r="I143" s="153"/>
    </row>
    <row r="144" spans="1:9" ht="15.6">
      <c r="A144" s="375" t="s">
        <v>765</v>
      </c>
      <c r="B144" s="375"/>
      <c r="C144" s="375"/>
      <c r="D144" s="375"/>
      <c r="E144" s="375"/>
      <c r="F144" s="375"/>
      <c r="G144" s="375"/>
      <c r="H144" s="375"/>
      <c r="I144" s="153"/>
    </row>
    <row r="145" spans="1:9" ht="15.6">
      <c r="A145" s="375" t="s">
        <v>766</v>
      </c>
      <c r="B145" s="375"/>
      <c r="C145" s="375"/>
      <c r="D145" s="375"/>
      <c r="E145" s="375"/>
      <c r="F145" s="375"/>
      <c r="G145" s="375"/>
      <c r="H145" s="375"/>
      <c r="I145" s="153"/>
    </row>
    <row r="146" spans="1:9" ht="15.6">
      <c r="A146" s="375" t="s">
        <v>767</v>
      </c>
      <c r="B146" s="375"/>
      <c r="C146" s="375"/>
      <c r="D146" s="375"/>
      <c r="E146" s="375"/>
      <c r="F146" s="375"/>
      <c r="G146" s="375"/>
      <c r="H146" s="375"/>
      <c r="I146" s="153"/>
    </row>
    <row r="147" spans="1:9" ht="15.6">
      <c r="A147" s="375" t="s">
        <v>768</v>
      </c>
      <c r="B147" s="375"/>
      <c r="C147" s="375"/>
      <c r="D147" s="375"/>
      <c r="E147" s="375"/>
      <c r="F147" s="375"/>
      <c r="G147" s="375"/>
      <c r="H147" s="375"/>
      <c r="I147" s="153"/>
    </row>
    <row r="148" spans="1:9" ht="15.6">
      <c r="A148" s="375" t="s">
        <v>769</v>
      </c>
      <c r="B148" s="375"/>
      <c r="C148" s="375"/>
      <c r="D148" s="375"/>
      <c r="E148" s="375"/>
      <c r="F148" s="375"/>
      <c r="G148" s="375"/>
      <c r="H148" s="375"/>
      <c r="I148" s="153"/>
    </row>
    <row r="149" spans="1:9" ht="15.6">
      <c r="A149" s="375" t="s">
        <v>770</v>
      </c>
      <c r="B149" s="375"/>
      <c r="C149" s="375"/>
      <c r="D149" s="375"/>
      <c r="E149" s="375"/>
      <c r="F149" s="375"/>
      <c r="G149" s="375"/>
      <c r="H149" s="375"/>
      <c r="I149" s="153"/>
    </row>
    <row r="150" spans="1:9" ht="15.6">
      <c r="A150" s="375" t="s">
        <v>771</v>
      </c>
      <c r="B150" s="375"/>
      <c r="C150" s="375"/>
      <c r="D150" s="375"/>
      <c r="E150" s="375"/>
      <c r="F150" s="375"/>
      <c r="G150" s="375"/>
      <c r="H150" s="375"/>
      <c r="I150" s="153"/>
    </row>
    <row r="151" spans="1:9" ht="37.5" customHeight="1">
      <c r="A151" s="389" t="s">
        <v>811</v>
      </c>
      <c r="B151" s="390"/>
      <c r="C151" s="390"/>
      <c r="D151" s="390"/>
      <c r="E151" s="390"/>
      <c r="F151" s="390"/>
      <c r="G151" s="390"/>
      <c r="H151" s="391"/>
      <c r="I151" s="153">
        <f>SUM(I152:I165)</f>
        <v>7805334.2699999996</v>
      </c>
    </row>
    <row r="152" spans="1:9" ht="15.6">
      <c r="A152" s="375" t="s">
        <v>313</v>
      </c>
      <c r="B152" s="375"/>
      <c r="C152" s="375"/>
      <c r="D152" s="375"/>
      <c r="E152" s="375"/>
      <c r="F152" s="375"/>
      <c r="G152" s="375"/>
      <c r="H152" s="375"/>
      <c r="I152" s="153"/>
    </row>
    <row r="153" spans="1:9" ht="15.6">
      <c r="A153" s="375" t="s">
        <v>812</v>
      </c>
      <c r="B153" s="375"/>
      <c r="C153" s="375"/>
      <c r="D153" s="375"/>
      <c r="E153" s="375"/>
      <c r="F153" s="375"/>
      <c r="G153" s="375"/>
      <c r="H153" s="375"/>
      <c r="I153" s="153"/>
    </row>
    <row r="154" spans="1:9" ht="15.6">
      <c r="A154" s="375" t="s">
        <v>813</v>
      </c>
      <c r="B154" s="375"/>
      <c r="C154" s="375"/>
      <c r="D154" s="375"/>
      <c r="E154" s="375"/>
      <c r="F154" s="375"/>
      <c r="G154" s="375"/>
      <c r="H154" s="375"/>
      <c r="I154" s="153"/>
    </row>
    <row r="155" spans="1:9" ht="15.6">
      <c r="A155" s="375" t="s">
        <v>814</v>
      </c>
      <c r="B155" s="375"/>
      <c r="C155" s="375"/>
      <c r="D155" s="375"/>
      <c r="E155" s="375"/>
      <c r="F155" s="375"/>
      <c r="G155" s="375"/>
      <c r="H155" s="375"/>
      <c r="I155" s="153"/>
    </row>
    <row r="156" spans="1:9" ht="15.6">
      <c r="A156" s="375" t="s">
        <v>815</v>
      </c>
      <c r="B156" s="375"/>
      <c r="C156" s="375"/>
      <c r="D156" s="375"/>
      <c r="E156" s="375"/>
      <c r="F156" s="375"/>
      <c r="G156" s="375"/>
      <c r="H156" s="375"/>
      <c r="I156" s="153"/>
    </row>
    <row r="157" spans="1:9" ht="15.6">
      <c r="A157" s="375" t="s">
        <v>816</v>
      </c>
      <c r="B157" s="375"/>
      <c r="C157" s="375"/>
      <c r="D157" s="375"/>
      <c r="E157" s="375"/>
      <c r="F157" s="375"/>
      <c r="G157" s="375"/>
      <c r="H157" s="375"/>
      <c r="I157" s="153"/>
    </row>
    <row r="158" spans="1:9" ht="15.6">
      <c r="A158" s="375" t="s">
        <v>817</v>
      </c>
      <c r="B158" s="375"/>
      <c r="C158" s="375"/>
      <c r="D158" s="375"/>
      <c r="E158" s="375"/>
      <c r="F158" s="375"/>
      <c r="G158" s="375"/>
      <c r="H158" s="375"/>
      <c r="I158" s="153"/>
    </row>
    <row r="159" spans="1:9" ht="15.6">
      <c r="A159" s="375" t="s">
        <v>818</v>
      </c>
      <c r="B159" s="375"/>
      <c r="C159" s="375"/>
      <c r="D159" s="375"/>
      <c r="E159" s="375"/>
      <c r="F159" s="375"/>
      <c r="G159" s="375"/>
      <c r="H159" s="375"/>
      <c r="I159" s="153"/>
    </row>
    <row r="160" spans="1:9" ht="15.6">
      <c r="A160" s="375" t="s">
        <v>819</v>
      </c>
      <c r="B160" s="375"/>
      <c r="C160" s="375"/>
      <c r="D160" s="375"/>
      <c r="E160" s="375"/>
      <c r="F160" s="375"/>
      <c r="G160" s="375"/>
      <c r="H160" s="375"/>
      <c r="I160" s="153"/>
    </row>
    <row r="161" spans="1:9" ht="15.6">
      <c r="A161" s="375" t="s">
        <v>820</v>
      </c>
      <c r="B161" s="375"/>
      <c r="C161" s="375"/>
      <c r="D161" s="375"/>
      <c r="E161" s="375"/>
      <c r="F161" s="375"/>
      <c r="G161" s="375"/>
      <c r="H161" s="375"/>
      <c r="I161" s="153"/>
    </row>
    <row r="162" spans="1:9" ht="15.6">
      <c r="A162" s="375" t="s">
        <v>821</v>
      </c>
      <c r="B162" s="375"/>
      <c r="C162" s="375"/>
      <c r="D162" s="375"/>
      <c r="E162" s="375"/>
      <c r="F162" s="375"/>
      <c r="G162" s="375"/>
      <c r="H162" s="375"/>
      <c r="I162" s="153">
        <v>6685334.2699999996</v>
      </c>
    </row>
    <row r="163" spans="1:9" ht="15.6">
      <c r="A163" s="375" t="s">
        <v>822</v>
      </c>
      <c r="B163" s="375"/>
      <c r="C163" s="375"/>
      <c r="D163" s="375"/>
      <c r="E163" s="375"/>
      <c r="F163" s="375"/>
      <c r="G163" s="375"/>
      <c r="H163" s="375"/>
      <c r="I163" s="153"/>
    </row>
    <row r="164" spans="1:9" ht="15.6">
      <c r="A164" s="375" t="s">
        <v>823</v>
      </c>
      <c r="B164" s="375"/>
      <c r="C164" s="375"/>
      <c r="D164" s="375"/>
      <c r="E164" s="375"/>
      <c r="F164" s="375"/>
      <c r="G164" s="375"/>
      <c r="H164" s="375"/>
      <c r="I164" s="153"/>
    </row>
    <row r="165" spans="1:9" ht="15.6">
      <c r="A165" s="375" t="s">
        <v>824</v>
      </c>
      <c r="B165" s="375"/>
      <c r="C165" s="375"/>
      <c r="D165" s="375"/>
      <c r="E165" s="375"/>
      <c r="F165" s="375"/>
      <c r="G165" s="375"/>
      <c r="H165" s="375"/>
      <c r="I165" s="153">
        <v>1120000</v>
      </c>
    </row>
    <row r="166" spans="1:9" ht="15.6">
      <c r="A166" s="150"/>
      <c r="B166" s="150"/>
      <c r="C166" s="150"/>
      <c r="D166" s="150"/>
      <c r="E166" s="150"/>
      <c r="F166" s="150"/>
      <c r="G166" s="150"/>
      <c r="H166" s="150"/>
      <c r="I166" s="151"/>
    </row>
    <row r="167" spans="1:9" ht="15.6">
      <c r="A167" s="150"/>
      <c r="B167" s="150"/>
      <c r="C167" s="150"/>
      <c r="D167" s="150"/>
      <c r="E167" s="150"/>
      <c r="F167" s="150"/>
      <c r="G167" s="150"/>
      <c r="H167" s="150"/>
      <c r="I167" s="151"/>
    </row>
  </sheetData>
  <mergeCells count="138">
    <mergeCell ref="A163:H163"/>
    <mergeCell ref="A164:H164"/>
    <mergeCell ref="A165:H165"/>
    <mergeCell ref="A157:H157"/>
    <mergeCell ref="A158:H158"/>
    <mergeCell ref="A159:H159"/>
    <mergeCell ref="A160:H160"/>
    <mergeCell ref="A161:H161"/>
    <mergeCell ref="A162:H162"/>
    <mergeCell ref="A151:H151"/>
    <mergeCell ref="A152:H152"/>
    <mergeCell ref="A153:H153"/>
    <mergeCell ref="A154:H154"/>
    <mergeCell ref="A155:H155"/>
    <mergeCell ref="A156:H156"/>
    <mergeCell ref="A145:H145"/>
    <mergeCell ref="A146:H146"/>
    <mergeCell ref="A147:H147"/>
    <mergeCell ref="A148:H148"/>
    <mergeCell ref="A149:H149"/>
    <mergeCell ref="A150:H150"/>
    <mergeCell ref="A139:H139"/>
    <mergeCell ref="A140:H140"/>
    <mergeCell ref="A141:H141"/>
    <mergeCell ref="A142:H142"/>
    <mergeCell ref="A143:H143"/>
    <mergeCell ref="A144:H144"/>
    <mergeCell ref="A132:H132"/>
    <mergeCell ref="A133:H133"/>
    <mergeCell ref="A134:H134"/>
    <mergeCell ref="A135:H135"/>
    <mergeCell ref="A137:H137"/>
    <mergeCell ref="A138:H138"/>
    <mergeCell ref="A136:H136"/>
    <mergeCell ref="A126:H126"/>
    <mergeCell ref="A127:H127"/>
    <mergeCell ref="A128:H128"/>
    <mergeCell ref="A129:H129"/>
    <mergeCell ref="A130:H130"/>
    <mergeCell ref="A131:H131"/>
    <mergeCell ref="A120:H120"/>
    <mergeCell ref="A121:H121"/>
    <mergeCell ref="A122:H122"/>
    <mergeCell ref="A123:H123"/>
    <mergeCell ref="A124:H124"/>
    <mergeCell ref="A125:H125"/>
    <mergeCell ref="A114:H114"/>
    <mergeCell ref="A115:H115"/>
    <mergeCell ref="A116:H116"/>
    <mergeCell ref="A117:H117"/>
    <mergeCell ref="A118:H118"/>
    <mergeCell ref="A119:H119"/>
    <mergeCell ref="A103:H103"/>
    <mergeCell ref="A110:H110"/>
    <mergeCell ref="A111:H111"/>
    <mergeCell ref="A112:H112"/>
    <mergeCell ref="A113:H113"/>
    <mergeCell ref="A104:H104"/>
    <mergeCell ref="A105:H105"/>
    <mergeCell ref="A106:H106"/>
    <mergeCell ref="A107:H107"/>
    <mergeCell ref="A108:H108"/>
    <mergeCell ref="A109:H109"/>
    <mergeCell ref="A97:H97"/>
    <mergeCell ref="A98:H98"/>
    <mergeCell ref="A99:H99"/>
    <mergeCell ref="A100:H100"/>
    <mergeCell ref="A101:H101"/>
    <mergeCell ref="A102:H102"/>
    <mergeCell ref="A91:H91"/>
    <mergeCell ref="A92:H92"/>
    <mergeCell ref="A93:H93"/>
    <mergeCell ref="A94:H94"/>
    <mergeCell ref="A95:H95"/>
    <mergeCell ref="A96:H96"/>
    <mergeCell ref="A81:I81"/>
    <mergeCell ref="A83:I83"/>
    <mergeCell ref="A87:H87"/>
    <mergeCell ref="A88:H88"/>
    <mergeCell ref="A89:H89"/>
    <mergeCell ref="A90:H90"/>
    <mergeCell ref="A73:I73"/>
    <mergeCell ref="A74:I74"/>
    <mergeCell ref="A75:I75"/>
    <mergeCell ref="A76:I76"/>
    <mergeCell ref="A78:I78"/>
    <mergeCell ref="A80:I80"/>
    <mergeCell ref="D84:G84"/>
    <mergeCell ref="D85:G85"/>
    <mergeCell ref="A67:I67"/>
    <mergeCell ref="A68:I68"/>
    <mergeCell ref="A69:I69"/>
    <mergeCell ref="A70:I70"/>
    <mergeCell ref="A71:I71"/>
    <mergeCell ref="A72:I72"/>
    <mergeCell ref="A61:I61"/>
    <mergeCell ref="A62:I62"/>
    <mergeCell ref="A63:I63"/>
    <mergeCell ref="A64:I64"/>
    <mergeCell ref="A65:I65"/>
    <mergeCell ref="A66:I66"/>
    <mergeCell ref="A56:I56"/>
    <mergeCell ref="A57:I57"/>
    <mergeCell ref="A58:I58"/>
    <mergeCell ref="A59:I59"/>
    <mergeCell ref="A60:I60"/>
    <mergeCell ref="A37:I37"/>
    <mergeCell ref="A38:I38"/>
    <mergeCell ref="A39:I39"/>
    <mergeCell ref="A40:I40"/>
    <mergeCell ref="A41:I41"/>
    <mergeCell ref="A31:I31"/>
    <mergeCell ref="A32:I32"/>
    <mergeCell ref="A33:I33"/>
    <mergeCell ref="A34:I34"/>
    <mergeCell ref="A35:I35"/>
    <mergeCell ref="A36:I36"/>
    <mergeCell ref="A23:B23"/>
    <mergeCell ref="A24:B24"/>
    <mergeCell ref="A25:H25"/>
    <mergeCell ref="A29:G29"/>
    <mergeCell ref="A30:I30"/>
    <mergeCell ref="A27:G27"/>
    <mergeCell ref="A11:I11"/>
    <mergeCell ref="A12:I12"/>
    <mergeCell ref="A13:I13"/>
    <mergeCell ref="A18:G18"/>
    <mergeCell ref="A21:H21"/>
    <mergeCell ref="I21:I22"/>
    <mergeCell ref="A22:G22"/>
    <mergeCell ref="A3:I3"/>
    <mergeCell ref="A4:I4"/>
    <mergeCell ref="A5:I5"/>
    <mergeCell ref="A6:I6"/>
    <mergeCell ref="A7:I7"/>
    <mergeCell ref="A8:I8"/>
    <mergeCell ref="C15:H15"/>
    <mergeCell ref="C14:H14"/>
  </mergeCells>
  <hyperlinks>
    <hyperlink ref="H29" r:id="rId1" display="consultantplus://offline/main?base=LAW;n=53610;fld=134;dst=100283"/>
  </hyperlinks>
  <pageMargins left="0.59055118110236227" right="0" top="0.39370078740157483" bottom="0.39370078740157483" header="0" footer="0"/>
  <pageSetup paperSize="9" scale="85" orientation="portrait" r:id="rId2"/>
</worksheet>
</file>

<file path=xl/worksheets/sheet12.xml><?xml version="1.0" encoding="utf-8"?>
<worksheet xmlns="http://schemas.openxmlformats.org/spreadsheetml/2006/main" xmlns:r="http://schemas.openxmlformats.org/officeDocument/2006/relationships">
  <dimension ref="A1:C518"/>
  <sheetViews>
    <sheetView topLeftCell="A13" workbookViewId="0">
      <selection activeCell="B519" sqref="B519"/>
    </sheetView>
  </sheetViews>
  <sheetFormatPr defaultRowHeight="14.4"/>
  <cols>
    <col min="1" max="1" width="12.5546875" style="133" customWidth="1"/>
    <col min="2" max="2" width="79.44140625" style="134" customWidth="1"/>
  </cols>
  <sheetData>
    <row r="1" spans="1:2">
      <c r="A1" s="392" t="s">
        <v>342</v>
      </c>
      <c r="B1" s="392"/>
    </row>
    <row r="2" spans="1:2" ht="17.399999999999999">
      <c r="A2" s="393" t="s">
        <v>343</v>
      </c>
      <c r="B2" s="393"/>
    </row>
    <row r="3" spans="1:2" ht="39.9" customHeight="1" thickBot="1">
      <c r="A3" s="394" t="s">
        <v>344</v>
      </c>
      <c r="B3" s="394"/>
    </row>
    <row r="4" spans="1:2" ht="24" customHeight="1">
      <c r="A4" s="258" t="s">
        <v>2</v>
      </c>
      <c r="B4" s="259" t="s">
        <v>906</v>
      </c>
    </row>
    <row r="5" spans="1:2">
      <c r="A5" s="260"/>
      <c r="B5" s="261" t="s">
        <v>907</v>
      </c>
    </row>
    <row r="6" spans="1:2" ht="18" customHeight="1">
      <c r="A6" s="262" t="s">
        <v>908</v>
      </c>
      <c r="B6" s="263" t="s">
        <v>345</v>
      </c>
    </row>
    <row r="7" spans="1:2" ht="18" customHeight="1">
      <c r="A7" s="262" t="s">
        <v>9</v>
      </c>
      <c r="B7" s="263" t="s">
        <v>346</v>
      </c>
    </row>
    <row r="8" spans="1:2" ht="18" customHeight="1">
      <c r="A8" s="262" t="s">
        <v>10</v>
      </c>
      <c r="B8" s="263" t="s">
        <v>347</v>
      </c>
    </row>
    <row r="9" spans="1:2" ht="18" customHeight="1">
      <c r="A9" s="262" t="s">
        <v>60</v>
      </c>
      <c r="B9" s="263" t="s">
        <v>348</v>
      </c>
    </row>
    <row r="10" spans="1:2" ht="18" customHeight="1">
      <c r="A10" s="262" t="s">
        <v>61</v>
      </c>
      <c r="B10" s="263" t="s">
        <v>909</v>
      </c>
    </row>
    <row r="11" spans="1:2" ht="18" customHeight="1">
      <c r="A11" s="262" t="s">
        <v>67</v>
      </c>
      <c r="B11" s="263" t="s">
        <v>349</v>
      </c>
    </row>
    <row r="12" spans="1:2" ht="18" customHeight="1">
      <c r="A12" s="262" t="s">
        <v>68</v>
      </c>
      <c r="B12" s="263" t="s">
        <v>350</v>
      </c>
    </row>
    <row r="13" spans="1:2" ht="18" customHeight="1">
      <c r="A13" s="262" t="s">
        <v>69</v>
      </c>
      <c r="B13" s="263" t="s">
        <v>351</v>
      </c>
    </row>
    <row r="14" spans="1:2" ht="18" customHeight="1">
      <c r="A14" s="262" t="s">
        <v>910</v>
      </c>
      <c r="B14" s="263" t="s">
        <v>352</v>
      </c>
    </row>
    <row r="15" spans="1:2" ht="18" customHeight="1">
      <c r="A15" s="262" t="s">
        <v>911</v>
      </c>
      <c r="B15" s="263" t="s">
        <v>353</v>
      </c>
    </row>
    <row r="16" spans="1:2" ht="18" customHeight="1">
      <c r="A16" s="262" t="s">
        <v>912</v>
      </c>
      <c r="B16" s="263" t="s">
        <v>354</v>
      </c>
    </row>
    <row r="17" spans="1:2" ht="18" customHeight="1">
      <c r="A17" s="262" t="s">
        <v>913</v>
      </c>
      <c r="B17" s="263" t="s">
        <v>914</v>
      </c>
    </row>
    <row r="18" spans="1:2" ht="18" customHeight="1">
      <c r="A18" s="262" t="s">
        <v>915</v>
      </c>
      <c r="B18" s="263" t="s">
        <v>916</v>
      </c>
    </row>
    <row r="19" spans="1:2" ht="18" customHeight="1">
      <c r="A19" s="262" t="s">
        <v>917</v>
      </c>
      <c r="B19" s="263" t="s">
        <v>918</v>
      </c>
    </row>
    <row r="20" spans="1:2" ht="18" customHeight="1">
      <c r="A20" s="262" t="s">
        <v>919</v>
      </c>
      <c r="B20" s="264" t="s">
        <v>355</v>
      </c>
    </row>
    <row r="21" spans="1:2" ht="18" customHeight="1">
      <c r="A21" s="262" t="s">
        <v>920</v>
      </c>
      <c r="B21" s="263" t="s">
        <v>356</v>
      </c>
    </row>
    <row r="22" spans="1:2" ht="18" customHeight="1">
      <c r="A22" s="262" t="s">
        <v>921</v>
      </c>
      <c r="B22" s="263" t="s">
        <v>357</v>
      </c>
    </row>
    <row r="23" spans="1:2" ht="18" customHeight="1">
      <c r="A23" s="262" t="s">
        <v>922</v>
      </c>
      <c r="B23" s="263" t="s">
        <v>358</v>
      </c>
    </row>
    <row r="24" spans="1:2" ht="18" customHeight="1">
      <c r="A24" s="262" t="s">
        <v>923</v>
      </c>
      <c r="B24" s="263" t="s">
        <v>359</v>
      </c>
    </row>
    <row r="25" spans="1:2" ht="18" customHeight="1">
      <c r="A25" s="262" t="s">
        <v>924</v>
      </c>
      <c r="B25" s="263" t="s">
        <v>360</v>
      </c>
    </row>
    <row r="26" spans="1:2" ht="18" customHeight="1">
      <c r="A26" s="262" t="s">
        <v>925</v>
      </c>
      <c r="B26" s="264" t="s">
        <v>361</v>
      </c>
    </row>
    <row r="27" spans="1:2" ht="18" customHeight="1">
      <c r="A27" s="262" t="s">
        <v>926</v>
      </c>
      <c r="B27" s="263" t="s">
        <v>362</v>
      </c>
    </row>
    <row r="28" spans="1:2" ht="18" customHeight="1">
      <c r="A28" s="262" t="s">
        <v>927</v>
      </c>
      <c r="B28" s="263" t="s">
        <v>363</v>
      </c>
    </row>
    <row r="29" spans="1:2" ht="18" customHeight="1">
      <c r="A29" s="262" t="s">
        <v>928</v>
      </c>
      <c r="B29" s="263" t="s">
        <v>364</v>
      </c>
    </row>
    <row r="30" spans="1:2" ht="18" customHeight="1">
      <c r="A30" s="262" t="s">
        <v>929</v>
      </c>
      <c r="B30" s="263" t="s">
        <v>365</v>
      </c>
    </row>
    <row r="31" spans="1:2" ht="18" customHeight="1">
      <c r="A31" s="262" t="s">
        <v>930</v>
      </c>
      <c r="B31" s="263" t="s">
        <v>366</v>
      </c>
    </row>
    <row r="32" spans="1:2" ht="18" customHeight="1">
      <c r="A32" s="262" t="s">
        <v>931</v>
      </c>
      <c r="B32" s="263" t="s">
        <v>367</v>
      </c>
    </row>
    <row r="33" spans="1:2" ht="18" customHeight="1">
      <c r="A33" s="262" t="s">
        <v>932</v>
      </c>
      <c r="B33" s="263" t="s">
        <v>368</v>
      </c>
    </row>
    <row r="34" spans="1:2" ht="18" customHeight="1">
      <c r="A34" s="262" t="s">
        <v>933</v>
      </c>
      <c r="B34" s="263" t="s">
        <v>369</v>
      </c>
    </row>
    <row r="35" spans="1:2" ht="18" customHeight="1">
      <c r="A35" s="262" t="s">
        <v>934</v>
      </c>
      <c r="B35" s="263" t="s">
        <v>370</v>
      </c>
    </row>
    <row r="36" spans="1:2" ht="18" customHeight="1">
      <c r="A36" s="262" t="s">
        <v>935</v>
      </c>
      <c r="B36" s="264" t="s">
        <v>371</v>
      </c>
    </row>
    <row r="37" spans="1:2" ht="18" customHeight="1">
      <c r="A37" s="262" t="s">
        <v>936</v>
      </c>
      <c r="B37" s="263" t="s">
        <v>372</v>
      </c>
    </row>
    <row r="38" spans="1:2" ht="18" customHeight="1">
      <c r="A38" s="262" t="s">
        <v>937</v>
      </c>
      <c r="B38" s="263" t="s">
        <v>373</v>
      </c>
    </row>
    <row r="39" spans="1:2" ht="18" customHeight="1">
      <c r="A39" s="262" t="s">
        <v>938</v>
      </c>
      <c r="B39" s="263" t="s">
        <v>374</v>
      </c>
    </row>
    <row r="40" spans="1:2" ht="18" customHeight="1">
      <c r="A40" s="262" t="s">
        <v>939</v>
      </c>
      <c r="B40" s="263" t="s">
        <v>375</v>
      </c>
    </row>
    <row r="41" spans="1:2" ht="18" customHeight="1">
      <c r="A41" s="262" t="s">
        <v>940</v>
      </c>
      <c r="B41" s="263" t="s">
        <v>376</v>
      </c>
    </row>
    <row r="42" spans="1:2" ht="18" customHeight="1">
      <c r="A42" s="262" t="s">
        <v>941</v>
      </c>
      <c r="B42" s="263" t="s">
        <v>377</v>
      </c>
    </row>
    <row r="43" spans="1:2" ht="18" customHeight="1">
      <c r="A43" s="262" t="s">
        <v>942</v>
      </c>
      <c r="B43" s="263" t="s">
        <v>378</v>
      </c>
    </row>
    <row r="44" spans="1:2" ht="18" customHeight="1">
      <c r="A44" s="262" t="s">
        <v>943</v>
      </c>
      <c r="B44" s="263" t="s">
        <v>379</v>
      </c>
    </row>
    <row r="45" spans="1:2" ht="18" customHeight="1">
      <c r="A45" s="262" t="s">
        <v>944</v>
      </c>
      <c r="B45" s="263" t="s">
        <v>381</v>
      </c>
    </row>
    <row r="46" spans="1:2" ht="18" customHeight="1">
      <c r="A46" s="262" t="s">
        <v>945</v>
      </c>
      <c r="B46" s="263" t="s">
        <v>382</v>
      </c>
    </row>
    <row r="47" spans="1:2" ht="18" customHeight="1">
      <c r="A47" s="262" t="s">
        <v>946</v>
      </c>
      <c r="B47" s="263" t="s">
        <v>383</v>
      </c>
    </row>
    <row r="48" spans="1:2" ht="18" customHeight="1">
      <c r="A48" s="262" t="s">
        <v>947</v>
      </c>
      <c r="B48" s="263" t="s">
        <v>384</v>
      </c>
    </row>
    <row r="49" spans="1:2" ht="18" customHeight="1">
      <c r="A49" s="262" t="s">
        <v>948</v>
      </c>
      <c r="B49" s="263" t="s">
        <v>385</v>
      </c>
    </row>
    <row r="50" spans="1:2" ht="18" customHeight="1">
      <c r="A50" s="262" t="s">
        <v>949</v>
      </c>
      <c r="B50" s="263" t="s">
        <v>386</v>
      </c>
    </row>
    <row r="51" spans="1:2" ht="18" customHeight="1">
      <c r="A51" s="262" t="s">
        <v>950</v>
      </c>
      <c r="B51" s="263" t="s">
        <v>387</v>
      </c>
    </row>
    <row r="52" spans="1:2" ht="18" customHeight="1">
      <c r="A52" s="262" t="s">
        <v>951</v>
      </c>
      <c r="B52" s="263" t="s">
        <v>388</v>
      </c>
    </row>
    <row r="53" spans="1:2" ht="18" customHeight="1">
      <c r="A53" s="262" t="s">
        <v>952</v>
      </c>
      <c r="B53" s="263" t="s">
        <v>389</v>
      </c>
    </row>
    <row r="54" spans="1:2" ht="18" customHeight="1">
      <c r="A54" s="262" t="s">
        <v>953</v>
      </c>
      <c r="B54" s="263" t="s">
        <v>390</v>
      </c>
    </row>
    <row r="55" spans="1:2" ht="18" customHeight="1">
      <c r="A55" s="262" t="s">
        <v>954</v>
      </c>
      <c r="B55" s="263" t="s">
        <v>391</v>
      </c>
    </row>
    <row r="56" spans="1:2" ht="18" customHeight="1">
      <c r="A56" s="262" t="s">
        <v>955</v>
      </c>
      <c r="B56" s="263" t="s">
        <v>392</v>
      </c>
    </row>
    <row r="57" spans="1:2" ht="18" customHeight="1">
      <c r="A57" s="262" t="s">
        <v>956</v>
      </c>
      <c r="B57" s="263" t="s">
        <v>393</v>
      </c>
    </row>
    <row r="58" spans="1:2" ht="18" customHeight="1">
      <c r="A58" s="262" t="s">
        <v>957</v>
      </c>
      <c r="B58" s="263" t="s">
        <v>958</v>
      </c>
    </row>
    <row r="59" spans="1:2" ht="18" customHeight="1">
      <c r="A59" s="262" t="s">
        <v>959</v>
      </c>
      <c r="B59" s="263" t="s">
        <v>960</v>
      </c>
    </row>
    <row r="60" spans="1:2" ht="18" customHeight="1">
      <c r="A60" s="262" t="s">
        <v>961</v>
      </c>
      <c r="B60" s="263" t="s">
        <v>394</v>
      </c>
    </row>
    <row r="61" spans="1:2" ht="18" customHeight="1">
      <c r="A61" s="262" t="s">
        <v>962</v>
      </c>
      <c r="B61" s="263" t="s">
        <v>963</v>
      </c>
    </row>
    <row r="62" spans="1:2" ht="18" customHeight="1">
      <c r="A62" s="262" t="s">
        <v>964</v>
      </c>
      <c r="B62" s="263" t="s">
        <v>965</v>
      </c>
    </row>
    <row r="63" spans="1:2" ht="18" customHeight="1">
      <c r="A63" s="262" t="s">
        <v>966</v>
      </c>
      <c r="B63" s="263" t="s">
        <v>967</v>
      </c>
    </row>
    <row r="64" spans="1:2" ht="18" customHeight="1">
      <c r="A64" s="262" t="s">
        <v>968</v>
      </c>
      <c r="B64" s="263" t="s">
        <v>398</v>
      </c>
    </row>
    <row r="65" spans="1:2" ht="33" customHeight="1">
      <c r="A65" s="262" t="s">
        <v>969</v>
      </c>
      <c r="B65" s="263" t="s">
        <v>399</v>
      </c>
    </row>
    <row r="66" spans="1:2" ht="18" customHeight="1">
      <c r="A66" s="260"/>
      <c r="B66" s="261" t="s">
        <v>970</v>
      </c>
    </row>
    <row r="67" spans="1:2" ht="18" customHeight="1">
      <c r="A67" s="262" t="s">
        <v>14</v>
      </c>
      <c r="B67" s="263" t="s">
        <v>426</v>
      </c>
    </row>
    <row r="68" spans="1:2" ht="18" customHeight="1">
      <c r="A68" s="262" t="s">
        <v>16</v>
      </c>
      <c r="B68" s="263" t="s">
        <v>427</v>
      </c>
    </row>
    <row r="69" spans="1:2" ht="18" customHeight="1">
      <c r="A69" s="262" t="s">
        <v>18</v>
      </c>
      <c r="B69" s="263" t="s">
        <v>428</v>
      </c>
    </row>
    <row r="70" spans="1:2" ht="18" customHeight="1">
      <c r="A70" s="260"/>
      <c r="B70" s="261" t="s">
        <v>971</v>
      </c>
    </row>
    <row r="71" spans="1:2" ht="18" customHeight="1">
      <c r="A71" s="262" t="s">
        <v>74</v>
      </c>
      <c r="B71" s="263" t="s">
        <v>429</v>
      </c>
    </row>
    <row r="72" spans="1:2" ht="18" customHeight="1">
      <c r="A72" s="262" t="s">
        <v>75</v>
      </c>
      <c r="B72" s="263" t="s">
        <v>430</v>
      </c>
    </row>
    <row r="73" spans="1:2" ht="18" customHeight="1">
      <c r="A73" s="262" t="s">
        <v>972</v>
      </c>
      <c r="B73" s="263" t="s">
        <v>431</v>
      </c>
    </row>
    <row r="74" spans="1:2" ht="18" customHeight="1">
      <c r="A74" s="262" t="s">
        <v>973</v>
      </c>
      <c r="B74" s="264" t="s">
        <v>432</v>
      </c>
    </row>
    <row r="75" spans="1:2" ht="18" customHeight="1">
      <c r="A75" s="262" t="s">
        <v>974</v>
      </c>
      <c r="B75" s="263" t="s">
        <v>433</v>
      </c>
    </row>
    <row r="76" spans="1:2" ht="30" customHeight="1">
      <c r="A76" s="262" t="s">
        <v>975</v>
      </c>
      <c r="B76" s="265" t="s">
        <v>434</v>
      </c>
    </row>
    <row r="77" spans="1:2" ht="18" customHeight="1">
      <c r="A77" s="262" t="s">
        <v>976</v>
      </c>
      <c r="B77" s="266" t="s">
        <v>435</v>
      </c>
    </row>
    <row r="78" spans="1:2" ht="18" customHeight="1">
      <c r="A78" s="262" t="s">
        <v>977</v>
      </c>
      <c r="B78" s="264" t="s">
        <v>436</v>
      </c>
    </row>
    <row r="79" spans="1:2" ht="18" customHeight="1">
      <c r="A79" s="262" t="s">
        <v>978</v>
      </c>
      <c r="B79" s="264" t="s">
        <v>437</v>
      </c>
    </row>
    <row r="80" spans="1:2" ht="18" customHeight="1">
      <c r="A80" s="262" t="s">
        <v>979</v>
      </c>
      <c r="B80" s="265" t="s">
        <v>438</v>
      </c>
    </row>
    <row r="81" spans="1:2" ht="18" customHeight="1">
      <c r="A81" s="262" t="s">
        <v>980</v>
      </c>
      <c r="B81" s="264" t="s">
        <v>439</v>
      </c>
    </row>
    <row r="82" spans="1:2" ht="18" customHeight="1">
      <c r="A82" s="262" t="s">
        <v>981</v>
      </c>
      <c r="B82" s="264" t="s">
        <v>440</v>
      </c>
    </row>
    <row r="83" spans="1:2" ht="18" customHeight="1">
      <c r="A83" s="262" t="s">
        <v>982</v>
      </c>
      <c r="B83" s="264" t="s">
        <v>441</v>
      </c>
    </row>
    <row r="84" spans="1:2" ht="18" customHeight="1">
      <c r="A84" s="262" t="s">
        <v>983</v>
      </c>
      <c r="B84" s="264" t="s">
        <v>442</v>
      </c>
    </row>
    <row r="85" spans="1:2" ht="18" customHeight="1">
      <c r="A85" s="262" t="s">
        <v>984</v>
      </c>
      <c r="B85" s="267" t="s">
        <v>443</v>
      </c>
    </row>
    <row r="86" spans="1:2" ht="18" customHeight="1">
      <c r="A86" s="262" t="s">
        <v>985</v>
      </c>
      <c r="B86" s="267" t="s">
        <v>444</v>
      </c>
    </row>
    <row r="87" spans="1:2" ht="18" customHeight="1">
      <c r="A87" s="262" t="s">
        <v>986</v>
      </c>
      <c r="B87" s="267" t="s">
        <v>987</v>
      </c>
    </row>
    <row r="88" spans="1:2" ht="18" customHeight="1">
      <c r="A88" s="262" t="s">
        <v>988</v>
      </c>
      <c r="B88" s="267" t="s">
        <v>445</v>
      </c>
    </row>
    <row r="89" spans="1:2" ht="18" customHeight="1">
      <c r="A89" s="262" t="s">
        <v>989</v>
      </c>
      <c r="B89" s="267" t="s">
        <v>990</v>
      </c>
    </row>
    <row r="90" spans="1:2" ht="18" customHeight="1">
      <c r="A90" s="262" t="s">
        <v>991</v>
      </c>
      <c r="B90" s="267" t="s">
        <v>446</v>
      </c>
    </row>
    <row r="91" spans="1:2" ht="18" customHeight="1">
      <c r="A91" s="260"/>
      <c r="B91" s="261" t="s">
        <v>992</v>
      </c>
    </row>
    <row r="92" spans="1:2" ht="18" customHeight="1">
      <c r="A92" s="262" t="s">
        <v>993</v>
      </c>
      <c r="B92" s="267" t="s">
        <v>447</v>
      </c>
    </row>
    <row r="93" spans="1:2" ht="18" customHeight="1">
      <c r="A93" s="262" t="s">
        <v>994</v>
      </c>
      <c r="B93" s="267" t="s">
        <v>448</v>
      </c>
    </row>
    <row r="94" spans="1:2" ht="18" customHeight="1">
      <c r="A94" s="262" t="s">
        <v>995</v>
      </c>
      <c r="B94" s="267" t="s">
        <v>449</v>
      </c>
    </row>
    <row r="95" spans="1:2" ht="18" customHeight="1">
      <c r="A95" s="262" t="s">
        <v>996</v>
      </c>
      <c r="B95" s="267" t="s">
        <v>450</v>
      </c>
    </row>
    <row r="96" spans="1:2" ht="18" customHeight="1">
      <c r="A96" s="262" t="s">
        <v>997</v>
      </c>
      <c r="B96" s="267" t="s">
        <v>451</v>
      </c>
    </row>
    <row r="97" spans="1:2" ht="18" customHeight="1">
      <c r="A97" s="262" t="s">
        <v>998</v>
      </c>
      <c r="B97" s="267" t="s">
        <v>452</v>
      </c>
    </row>
    <row r="98" spans="1:2" ht="18" customHeight="1">
      <c r="A98" s="262" t="s">
        <v>999</v>
      </c>
      <c r="B98" s="267" t="s">
        <v>453</v>
      </c>
    </row>
    <row r="99" spans="1:2" ht="18" customHeight="1">
      <c r="A99" s="262" t="s">
        <v>1000</v>
      </c>
      <c r="B99" s="267" t="s">
        <v>454</v>
      </c>
    </row>
    <row r="100" spans="1:2" ht="18" customHeight="1">
      <c r="A100" s="262" t="s">
        <v>1001</v>
      </c>
      <c r="B100" s="267" t="s">
        <v>455</v>
      </c>
    </row>
    <row r="101" spans="1:2" ht="27.15" customHeight="1">
      <c r="A101" s="262" t="s">
        <v>1002</v>
      </c>
      <c r="B101" s="267" t="s">
        <v>456</v>
      </c>
    </row>
    <row r="102" spans="1:2" ht="18" customHeight="1">
      <c r="A102" s="262" t="s">
        <v>1003</v>
      </c>
      <c r="B102" s="267" t="s">
        <v>457</v>
      </c>
    </row>
    <row r="103" spans="1:2" ht="18" customHeight="1">
      <c r="A103" s="262" t="s">
        <v>1004</v>
      </c>
      <c r="B103" s="267" t="s">
        <v>458</v>
      </c>
    </row>
    <row r="104" spans="1:2" ht="18" customHeight="1">
      <c r="A104" s="262" t="s">
        <v>1005</v>
      </c>
      <c r="B104" s="267" t="s">
        <v>459</v>
      </c>
    </row>
    <row r="105" spans="1:2" ht="18" customHeight="1">
      <c r="A105" s="262" t="s">
        <v>1006</v>
      </c>
      <c r="B105" s="267" t="s">
        <v>460</v>
      </c>
    </row>
    <row r="106" spans="1:2" ht="18" customHeight="1">
      <c r="A106" s="262" t="s">
        <v>1007</v>
      </c>
      <c r="B106" s="267" t="s">
        <v>461</v>
      </c>
    </row>
    <row r="107" spans="1:2" ht="18" customHeight="1">
      <c r="A107" s="262" t="s">
        <v>1008</v>
      </c>
      <c r="B107" s="267" t="s">
        <v>462</v>
      </c>
    </row>
    <row r="108" spans="1:2" ht="18" customHeight="1">
      <c r="A108" s="262" t="s">
        <v>1009</v>
      </c>
      <c r="B108" s="267" t="s">
        <v>463</v>
      </c>
    </row>
    <row r="109" spans="1:2" ht="18" customHeight="1">
      <c r="A109" s="262" t="s">
        <v>1010</v>
      </c>
      <c r="B109" s="267" t="s">
        <v>464</v>
      </c>
    </row>
    <row r="110" spans="1:2" ht="18" customHeight="1">
      <c r="A110" s="262" t="s">
        <v>1011</v>
      </c>
      <c r="B110" s="267" t="s">
        <v>465</v>
      </c>
    </row>
    <row r="111" spans="1:2" ht="18" customHeight="1">
      <c r="A111" s="262" t="s">
        <v>1012</v>
      </c>
      <c r="B111" s="267" t="s">
        <v>466</v>
      </c>
    </row>
    <row r="112" spans="1:2" ht="18" customHeight="1">
      <c r="A112" s="262" t="s">
        <v>1013</v>
      </c>
      <c r="B112" s="267" t="s">
        <v>467</v>
      </c>
    </row>
    <row r="113" spans="1:2" ht="18" customHeight="1">
      <c r="A113" s="262" t="s">
        <v>1014</v>
      </c>
      <c r="B113" s="267" t="s">
        <v>468</v>
      </c>
    </row>
    <row r="114" spans="1:2" ht="18" customHeight="1">
      <c r="A114" s="262" t="s">
        <v>1015</v>
      </c>
      <c r="B114" s="267" t="s">
        <v>469</v>
      </c>
    </row>
    <row r="115" spans="1:2" ht="18" customHeight="1">
      <c r="A115" s="260"/>
      <c r="B115" s="261" t="s">
        <v>1016</v>
      </c>
    </row>
    <row r="116" spans="1:2" ht="18" customHeight="1">
      <c r="A116" s="262" t="s">
        <v>214</v>
      </c>
      <c r="B116" s="267" t="s">
        <v>470</v>
      </c>
    </row>
    <row r="117" spans="1:2" ht="18" customHeight="1">
      <c r="A117" s="262" t="s">
        <v>1017</v>
      </c>
      <c r="B117" s="267" t="s">
        <v>471</v>
      </c>
    </row>
    <row r="118" spans="1:2" ht="18" customHeight="1">
      <c r="A118" s="262" t="s">
        <v>1018</v>
      </c>
      <c r="B118" s="267" t="s">
        <v>851</v>
      </c>
    </row>
    <row r="119" spans="1:2" ht="18" customHeight="1">
      <c r="A119" s="262" t="s">
        <v>1019</v>
      </c>
      <c r="B119" s="267" t="s">
        <v>472</v>
      </c>
    </row>
    <row r="120" spans="1:2" ht="18" customHeight="1">
      <c r="A120" s="262" t="s">
        <v>1020</v>
      </c>
      <c r="B120" s="267" t="s">
        <v>473</v>
      </c>
    </row>
    <row r="121" spans="1:2" ht="18" customHeight="1">
      <c r="A121" s="262" t="s">
        <v>1021</v>
      </c>
      <c r="B121" s="267" t="s">
        <v>474</v>
      </c>
    </row>
    <row r="122" spans="1:2" ht="18" customHeight="1">
      <c r="A122" s="262" t="s">
        <v>1022</v>
      </c>
      <c r="B122" s="267" t="s">
        <v>475</v>
      </c>
    </row>
    <row r="123" spans="1:2" ht="18" customHeight="1">
      <c r="A123" s="262" t="s">
        <v>1023</v>
      </c>
      <c r="B123" s="267" t="s">
        <v>476</v>
      </c>
    </row>
    <row r="124" spans="1:2" ht="18" customHeight="1">
      <c r="A124" s="262" t="s">
        <v>1024</v>
      </c>
      <c r="B124" s="267" t="s">
        <v>1025</v>
      </c>
    </row>
    <row r="125" spans="1:2" ht="18" customHeight="1">
      <c r="A125" s="262" t="s">
        <v>1026</v>
      </c>
      <c r="B125" s="267" t="s">
        <v>477</v>
      </c>
    </row>
    <row r="126" spans="1:2" ht="18" customHeight="1">
      <c r="A126" s="262" t="s">
        <v>1027</v>
      </c>
      <c r="B126" s="267" t="s">
        <v>478</v>
      </c>
    </row>
    <row r="127" spans="1:2" ht="18" customHeight="1">
      <c r="A127" s="262" t="s">
        <v>1028</v>
      </c>
      <c r="B127" s="267" t="s">
        <v>852</v>
      </c>
    </row>
    <row r="128" spans="1:2" ht="18" customHeight="1">
      <c r="A128" s="262" t="s">
        <v>1029</v>
      </c>
      <c r="B128" s="267" t="s">
        <v>479</v>
      </c>
    </row>
    <row r="129" spans="1:2" ht="18" customHeight="1">
      <c r="A129" s="262" t="s">
        <v>1030</v>
      </c>
      <c r="B129" s="267" t="s">
        <v>480</v>
      </c>
    </row>
    <row r="130" spans="1:2" ht="18" customHeight="1">
      <c r="A130" s="262" t="s">
        <v>1031</v>
      </c>
      <c r="B130" s="267" t="s">
        <v>1503</v>
      </c>
    </row>
    <row r="131" spans="1:2" ht="18" customHeight="1">
      <c r="A131" s="262" t="s">
        <v>1032</v>
      </c>
      <c r="B131" s="267" t="s">
        <v>481</v>
      </c>
    </row>
    <row r="132" spans="1:2" ht="18" customHeight="1">
      <c r="A132" s="262" t="s">
        <v>1033</v>
      </c>
      <c r="B132" s="267" t="s">
        <v>482</v>
      </c>
    </row>
    <row r="133" spans="1:2" ht="18" customHeight="1">
      <c r="A133" s="262" t="s">
        <v>1034</v>
      </c>
      <c r="B133" s="267" t="s">
        <v>483</v>
      </c>
    </row>
    <row r="134" spans="1:2" ht="18" customHeight="1">
      <c r="A134" s="262" t="s">
        <v>1035</v>
      </c>
      <c r="B134" s="267" t="s">
        <v>484</v>
      </c>
    </row>
    <row r="135" spans="1:2" ht="18" customHeight="1">
      <c r="A135" s="262" t="s">
        <v>1036</v>
      </c>
      <c r="B135" s="267" t="s">
        <v>853</v>
      </c>
    </row>
    <row r="136" spans="1:2" ht="18" customHeight="1">
      <c r="A136" s="262" t="s">
        <v>1037</v>
      </c>
      <c r="B136" s="267" t="s">
        <v>485</v>
      </c>
    </row>
    <row r="137" spans="1:2" ht="27.15" customHeight="1">
      <c r="A137" s="262" t="s">
        <v>1038</v>
      </c>
      <c r="B137" s="267" t="s">
        <v>486</v>
      </c>
    </row>
    <row r="138" spans="1:2" ht="18" customHeight="1">
      <c r="A138" s="262" t="s">
        <v>1039</v>
      </c>
      <c r="B138" s="267" t="s">
        <v>487</v>
      </c>
    </row>
    <row r="139" spans="1:2" ht="18" customHeight="1">
      <c r="A139" s="262" t="s">
        <v>1040</v>
      </c>
      <c r="B139" s="267" t="s">
        <v>488</v>
      </c>
    </row>
    <row r="140" spans="1:2" ht="18" customHeight="1">
      <c r="A140" s="262" t="s">
        <v>1041</v>
      </c>
      <c r="B140" s="267" t="s">
        <v>489</v>
      </c>
    </row>
    <row r="141" spans="1:2" ht="18" customHeight="1">
      <c r="A141" s="262" t="s">
        <v>1042</v>
      </c>
      <c r="B141" s="267" t="s">
        <v>490</v>
      </c>
    </row>
    <row r="142" spans="1:2" ht="18" customHeight="1">
      <c r="A142" s="262" t="s">
        <v>1043</v>
      </c>
      <c r="B142" s="267" t="s">
        <v>854</v>
      </c>
    </row>
    <row r="143" spans="1:2" ht="18" customHeight="1">
      <c r="A143" s="262" t="s">
        <v>1044</v>
      </c>
      <c r="B143" s="267" t="s">
        <v>491</v>
      </c>
    </row>
    <row r="144" spans="1:2" ht="18" customHeight="1">
      <c r="A144" s="262" t="s">
        <v>1045</v>
      </c>
      <c r="B144" s="267" t="s">
        <v>492</v>
      </c>
    </row>
    <row r="145" spans="1:2" ht="18" customHeight="1">
      <c r="A145" s="262" t="s">
        <v>1046</v>
      </c>
      <c r="B145" s="267" t="s">
        <v>493</v>
      </c>
    </row>
    <row r="146" spans="1:2" ht="18" customHeight="1">
      <c r="A146" s="262" t="s">
        <v>1047</v>
      </c>
      <c r="B146" s="267" t="s">
        <v>494</v>
      </c>
    </row>
    <row r="147" spans="1:2" ht="18" customHeight="1">
      <c r="A147" s="262" t="s">
        <v>1048</v>
      </c>
      <c r="B147" s="267" t="s">
        <v>495</v>
      </c>
    </row>
    <row r="148" spans="1:2" ht="18" customHeight="1">
      <c r="A148" s="262" t="s">
        <v>1049</v>
      </c>
      <c r="B148" s="267" t="s">
        <v>855</v>
      </c>
    </row>
    <row r="149" spans="1:2" ht="18" customHeight="1">
      <c r="A149" s="262" t="s">
        <v>1050</v>
      </c>
      <c r="B149" s="267" t="s">
        <v>496</v>
      </c>
    </row>
    <row r="150" spans="1:2" ht="18" customHeight="1">
      <c r="A150" s="262" t="s">
        <v>1051</v>
      </c>
      <c r="B150" s="267" t="s">
        <v>497</v>
      </c>
    </row>
    <row r="151" spans="1:2" ht="18" customHeight="1">
      <c r="A151" s="262" t="s">
        <v>1052</v>
      </c>
      <c r="B151" s="267" t="s">
        <v>498</v>
      </c>
    </row>
    <row r="152" spans="1:2" ht="18" customHeight="1">
      <c r="A152" s="262" t="s">
        <v>1053</v>
      </c>
      <c r="B152" s="267" t="s">
        <v>499</v>
      </c>
    </row>
    <row r="153" spans="1:2" ht="18" customHeight="1">
      <c r="A153" s="262" t="s">
        <v>1054</v>
      </c>
      <c r="B153" s="267" t="s">
        <v>500</v>
      </c>
    </row>
    <row r="154" spans="1:2" ht="18" customHeight="1">
      <c r="A154" s="262" t="s">
        <v>1055</v>
      </c>
      <c r="B154" s="267" t="s">
        <v>856</v>
      </c>
    </row>
    <row r="155" spans="1:2" ht="18" customHeight="1">
      <c r="A155" s="262" t="s">
        <v>1056</v>
      </c>
      <c r="B155" s="267" t="s">
        <v>501</v>
      </c>
    </row>
    <row r="156" spans="1:2" ht="18" customHeight="1">
      <c r="A156" s="262" t="s">
        <v>1504</v>
      </c>
      <c r="B156" s="267" t="s">
        <v>1505</v>
      </c>
    </row>
    <row r="157" spans="1:2" ht="18" customHeight="1">
      <c r="A157" s="260"/>
      <c r="B157" s="268" t="s">
        <v>1057</v>
      </c>
    </row>
    <row r="158" spans="1:2" ht="27.75" customHeight="1">
      <c r="A158" s="262" t="s">
        <v>1058</v>
      </c>
      <c r="B158" s="269" t="s">
        <v>502</v>
      </c>
    </row>
    <row r="159" spans="1:2" ht="18" customHeight="1">
      <c r="A159" s="262" t="s">
        <v>1059</v>
      </c>
      <c r="B159" s="269" t="s">
        <v>1060</v>
      </c>
    </row>
    <row r="160" spans="1:2" ht="18" customHeight="1">
      <c r="A160" s="262" t="s">
        <v>1061</v>
      </c>
      <c r="B160" s="269" t="s">
        <v>503</v>
      </c>
    </row>
    <row r="161" spans="1:2" ht="18" customHeight="1">
      <c r="A161" s="262" t="s">
        <v>1062</v>
      </c>
      <c r="B161" s="269" t="s">
        <v>504</v>
      </c>
    </row>
    <row r="162" spans="1:2" ht="18" customHeight="1">
      <c r="A162" s="262" t="s">
        <v>1063</v>
      </c>
      <c r="B162" s="269" t="s">
        <v>505</v>
      </c>
    </row>
    <row r="163" spans="1:2" ht="18" customHeight="1">
      <c r="A163" s="262" t="s">
        <v>1064</v>
      </c>
      <c r="B163" s="269" t="s">
        <v>506</v>
      </c>
    </row>
    <row r="164" spans="1:2" ht="18" customHeight="1">
      <c r="A164" s="262" t="s">
        <v>1065</v>
      </c>
      <c r="B164" s="269" t="s">
        <v>507</v>
      </c>
    </row>
    <row r="165" spans="1:2" ht="18" customHeight="1">
      <c r="A165" s="262" t="s">
        <v>1066</v>
      </c>
      <c r="B165" s="269" t="s">
        <v>508</v>
      </c>
    </row>
    <row r="166" spans="1:2" ht="18" customHeight="1">
      <c r="A166" s="262" t="s">
        <v>1067</v>
      </c>
      <c r="B166" s="269" t="s">
        <v>509</v>
      </c>
    </row>
    <row r="167" spans="1:2" ht="18" customHeight="1">
      <c r="A167" s="262" t="s">
        <v>1068</v>
      </c>
      <c r="B167" s="269" t="s">
        <v>510</v>
      </c>
    </row>
    <row r="168" spans="1:2" ht="18" customHeight="1">
      <c r="A168" s="262" t="s">
        <v>1069</v>
      </c>
      <c r="B168" s="269" t="s">
        <v>511</v>
      </c>
    </row>
    <row r="169" spans="1:2" ht="18" customHeight="1">
      <c r="A169" s="262" t="s">
        <v>1070</v>
      </c>
      <c r="B169" s="269" t="s">
        <v>512</v>
      </c>
    </row>
    <row r="170" spans="1:2" ht="27.15" customHeight="1">
      <c r="A170" s="262" t="s">
        <v>1071</v>
      </c>
      <c r="B170" s="269" t="s">
        <v>513</v>
      </c>
    </row>
    <row r="171" spans="1:2" ht="18" customHeight="1">
      <c r="A171" s="262" t="s">
        <v>1072</v>
      </c>
      <c r="B171" s="269" t="s">
        <v>514</v>
      </c>
    </row>
    <row r="172" spans="1:2" ht="18" customHeight="1">
      <c r="A172" s="262" t="s">
        <v>1073</v>
      </c>
      <c r="B172" s="269" t="s">
        <v>515</v>
      </c>
    </row>
    <row r="173" spans="1:2" ht="18" customHeight="1">
      <c r="A173" s="262" t="s">
        <v>1074</v>
      </c>
      <c r="B173" s="269" t="s">
        <v>1075</v>
      </c>
    </row>
    <row r="174" spans="1:2" ht="18" customHeight="1">
      <c r="A174" s="262" t="s">
        <v>1076</v>
      </c>
      <c r="B174" s="269" t="s">
        <v>516</v>
      </c>
    </row>
    <row r="175" spans="1:2" ht="18" customHeight="1">
      <c r="A175" s="262" t="s">
        <v>1077</v>
      </c>
      <c r="B175" s="269" t="s">
        <v>517</v>
      </c>
    </row>
    <row r="176" spans="1:2" ht="18" customHeight="1">
      <c r="A176" s="262" t="s">
        <v>1078</v>
      </c>
      <c r="B176" s="269" t="s">
        <v>518</v>
      </c>
    </row>
    <row r="177" spans="1:2" ht="18" customHeight="1">
      <c r="A177" s="262" t="s">
        <v>1079</v>
      </c>
      <c r="B177" s="269" t="s">
        <v>519</v>
      </c>
    </row>
    <row r="178" spans="1:2" ht="18" customHeight="1">
      <c r="A178" s="262" t="s">
        <v>1080</v>
      </c>
      <c r="B178" s="269" t="s">
        <v>520</v>
      </c>
    </row>
    <row r="179" spans="1:2" ht="18" customHeight="1">
      <c r="A179" s="262" t="s">
        <v>1081</v>
      </c>
      <c r="B179" s="269" t="s">
        <v>521</v>
      </c>
    </row>
    <row r="180" spans="1:2" ht="18" customHeight="1">
      <c r="A180" s="262" t="s">
        <v>1082</v>
      </c>
      <c r="B180" s="269" t="s">
        <v>522</v>
      </c>
    </row>
    <row r="181" spans="1:2" ht="18" customHeight="1">
      <c r="A181" s="262" t="s">
        <v>1083</v>
      </c>
      <c r="B181" s="269" t="s">
        <v>523</v>
      </c>
    </row>
    <row r="182" spans="1:2" ht="18" customHeight="1">
      <c r="A182" s="262" t="s">
        <v>1084</v>
      </c>
      <c r="B182" s="269" t="s">
        <v>524</v>
      </c>
    </row>
    <row r="183" spans="1:2" ht="18" customHeight="1">
      <c r="A183" s="262" t="s">
        <v>1085</v>
      </c>
      <c r="B183" s="269" t="s">
        <v>525</v>
      </c>
    </row>
    <row r="184" spans="1:2" ht="18" customHeight="1">
      <c r="A184" s="262" t="s">
        <v>1086</v>
      </c>
      <c r="B184" s="269" t="s">
        <v>526</v>
      </c>
    </row>
    <row r="185" spans="1:2" ht="18" customHeight="1">
      <c r="A185" s="262" t="s">
        <v>1087</v>
      </c>
      <c r="B185" s="269" t="s">
        <v>527</v>
      </c>
    </row>
    <row r="186" spans="1:2" ht="18" customHeight="1">
      <c r="A186" s="262" t="s">
        <v>1088</v>
      </c>
      <c r="B186" s="269" t="s">
        <v>528</v>
      </c>
    </row>
    <row r="187" spans="1:2" ht="18" customHeight="1">
      <c r="A187" s="260"/>
      <c r="B187" s="261" t="s">
        <v>1089</v>
      </c>
    </row>
    <row r="188" spans="1:2" ht="18" customHeight="1">
      <c r="A188" s="262" t="s">
        <v>143</v>
      </c>
      <c r="B188" s="263" t="s">
        <v>400</v>
      </c>
    </row>
    <row r="189" spans="1:2" ht="18" customHeight="1">
      <c r="A189" s="262" t="s">
        <v>144</v>
      </c>
      <c r="B189" s="263" t="s">
        <v>401</v>
      </c>
    </row>
    <row r="190" spans="1:2" ht="18" customHeight="1">
      <c r="A190" s="262" t="s">
        <v>145</v>
      </c>
      <c r="B190" s="263" t="s">
        <v>402</v>
      </c>
    </row>
    <row r="191" spans="1:2" ht="30" customHeight="1">
      <c r="A191" s="262" t="s">
        <v>146</v>
      </c>
      <c r="B191" s="263" t="s">
        <v>403</v>
      </c>
    </row>
    <row r="192" spans="1:2" ht="18" customHeight="1">
      <c r="A192" s="262" t="s">
        <v>147</v>
      </c>
      <c r="B192" s="263" t="s">
        <v>404</v>
      </c>
    </row>
    <row r="193" spans="1:2" ht="18" customHeight="1">
      <c r="A193" s="262" t="s">
        <v>148</v>
      </c>
      <c r="B193" s="263" t="s">
        <v>405</v>
      </c>
    </row>
    <row r="194" spans="1:2" ht="27.75" customHeight="1">
      <c r="A194" s="262" t="s">
        <v>151</v>
      </c>
      <c r="B194" s="263" t="s">
        <v>406</v>
      </c>
    </row>
    <row r="195" spans="1:2" ht="30" customHeight="1">
      <c r="A195" s="262" t="s">
        <v>153</v>
      </c>
      <c r="B195" s="263" t="s">
        <v>407</v>
      </c>
    </row>
    <row r="196" spans="1:2" ht="27.75" customHeight="1">
      <c r="A196" s="262" t="s">
        <v>157</v>
      </c>
      <c r="B196" s="263" t="s">
        <v>408</v>
      </c>
    </row>
    <row r="197" spans="1:2" ht="18" customHeight="1">
      <c r="A197" s="262" t="s">
        <v>159</v>
      </c>
      <c r="B197" s="263" t="s">
        <v>409</v>
      </c>
    </row>
    <row r="198" spans="1:2" ht="44.25" customHeight="1">
      <c r="A198" s="262" t="s">
        <v>160</v>
      </c>
      <c r="B198" s="263" t="s">
        <v>410</v>
      </c>
    </row>
    <row r="199" spans="1:2" ht="27.75" customHeight="1">
      <c r="A199" s="262" t="s">
        <v>163</v>
      </c>
      <c r="B199" s="263" t="s">
        <v>411</v>
      </c>
    </row>
    <row r="200" spans="1:2" ht="18" customHeight="1">
      <c r="A200" s="262" t="s">
        <v>165</v>
      </c>
      <c r="B200" s="263" t="s">
        <v>412</v>
      </c>
    </row>
    <row r="201" spans="1:2" ht="31.5" customHeight="1">
      <c r="A201" s="262" t="s">
        <v>167</v>
      </c>
      <c r="B201" s="263" t="s">
        <v>413</v>
      </c>
    </row>
    <row r="202" spans="1:2" ht="18" customHeight="1">
      <c r="A202" s="262" t="s">
        <v>169</v>
      </c>
      <c r="B202" s="263" t="s">
        <v>414</v>
      </c>
    </row>
    <row r="203" spans="1:2" ht="28.5" customHeight="1">
      <c r="A203" s="262" t="s">
        <v>1090</v>
      </c>
      <c r="B203" s="263" t="s">
        <v>415</v>
      </c>
    </row>
    <row r="204" spans="1:2" ht="44.25" customHeight="1">
      <c r="A204" s="262" t="s">
        <v>1091</v>
      </c>
      <c r="B204" s="263" t="s">
        <v>416</v>
      </c>
    </row>
    <row r="205" spans="1:2" ht="18" customHeight="1">
      <c r="A205" s="262" t="s">
        <v>1092</v>
      </c>
      <c r="B205" s="263" t="s">
        <v>417</v>
      </c>
    </row>
    <row r="206" spans="1:2" ht="30.9" customHeight="1">
      <c r="A206" s="262" t="s">
        <v>1093</v>
      </c>
      <c r="B206" s="263" t="s">
        <v>418</v>
      </c>
    </row>
    <row r="207" spans="1:2" ht="18" customHeight="1">
      <c r="A207" s="262" t="s">
        <v>1094</v>
      </c>
      <c r="B207" s="263" t="s">
        <v>419</v>
      </c>
    </row>
    <row r="208" spans="1:2" ht="30.9" customHeight="1">
      <c r="A208" s="262" t="s">
        <v>1095</v>
      </c>
      <c r="B208" s="263" t="s">
        <v>420</v>
      </c>
    </row>
    <row r="209" spans="1:2" ht="18" customHeight="1">
      <c r="A209" s="262" t="s">
        <v>1096</v>
      </c>
      <c r="B209" s="263" t="s">
        <v>421</v>
      </c>
    </row>
    <row r="210" spans="1:2" ht="30.9" customHeight="1">
      <c r="A210" s="262" t="s">
        <v>1097</v>
      </c>
      <c r="B210" s="263" t="s">
        <v>422</v>
      </c>
    </row>
    <row r="211" spans="1:2" ht="18" customHeight="1">
      <c r="A211" s="262" t="s">
        <v>1098</v>
      </c>
      <c r="B211" s="263" t="s">
        <v>423</v>
      </c>
    </row>
    <row r="212" spans="1:2" ht="18" customHeight="1">
      <c r="A212" s="262" t="s">
        <v>1099</v>
      </c>
      <c r="B212" s="263" t="s">
        <v>424</v>
      </c>
    </row>
    <row r="213" spans="1:2" ht="18" customHeight="1">
      <c r="A213" s="262" t="s">
        <v>1100</v>
      </c>
      <c r="B213" s="263" t="s">
        <v>425</v>
      </c>
    </row>
    <row r="214" spans="1:2" ht="18" customHeight="1">
      <c r="A214" s="260"/>
      <c r="B214" s="261" t="s">
        <v>1101</v>
      </c>
    </row>
    <row r="215" spans="1:2" ht="18" customHeight="1">
      <c r="A215" s="262" t="s">
        <v>1102</v>
      </c>
      <c r="B215" s="269" t="s">
        <v>529</v>
      </c>
    </row>
    <row r="216" spans="1:2" ht="18" customHeight="1">
      <c r="A216" s="262" t="s">
        <v>1103</v>
      </c>
      <c r="B216" s="269" t="s">
        <v>530</v>
      </c>
    </row>
    <row r="217" spans="1:2" ht="18" customHeight="1">
      <c r="A217" s="262" t="s">
        <v>1104</v>
      </c>
      <c r="B217" s="269" t="s">
        <v>531</v>
      </c>
    </row>
    <row r="218" spans="1:2" ht="18" customHeight="1">
      <c r="A218" s="262" t="s">
        <v>1105</v>
      </c>
      <c r="B218" s="269" t="s">
        <v>532</v>
      </c>
    </row>
    <row r="219" spans="1:2" ht="18" customHeight="1">
      <c r="A219" s="262" t="s">
        <v>1106</v>
      </c>
      <c r="B219" s="269" t="s">
        <v>533</v>
      </c>
    </row>
    <row r="220" spans="1:2" ht="18" customHeight="1">
      <c r="A220" s="262" t="s">
        <v>1107</v>
      </c>
      <c r="B220" s="269" t="s">
        <v>534</v>
      </c>
    </row>
    <row r="221" spans="1:2" ht="18" customHeight="1">
      <c r="A221" s="262" t="s">
        <v>1108</v>
      </c>
      <c r="B221" s="269" t="s">
        <v>535</v>
      </c>
    </row>
    <row r="222" spans="1:2" ht="18" customHeight="1">
      <c r="A222" s="262" t="s">
        <v>1109</v>
      </c>
      <c r="B222" s="269" t="s">
        <v>536</v>
      </c>
    </row>
    <row r="223" spans="1:2" ht="18" customHeight="1">
      <c r="A223" s="262" t="s">
        <v>1110</v>
      </c>
      <c r="B223" s="269" t="s">
        <v>537</v>
      </c>
    </row>
    <row r="224" spans="1:2" ht="18" customHeight="1">
      <c r="A224" s="260"/>
      <c r="B224" s="268" t="s">
        <v>1111</v>
      </c>
    </row>
    <row r="225" spans="1:2" ht="18" customHeight="1">
      <c r="A225" s="262" t="s">
        <v>1112</v>
      </c>
      <c r="B225" s="264" t="s">
        <v>538</v>
      </c>
    </row>
    <row r="226" spans="1:2" ht="18" customHeight="1">
      <c r="A226" s="262" t="s">
        <v>1113</v>
      </c>
      <c r="B226" s="264" t="s">
        <v>539</v>
      </c>
    </row>
    <row r="227" spans="1:2" ht="18" customHeight="1">
      <c r="A227" s="262" t="s">
        <v>1114</v>
      </c>
      <c r="B227" s="264" t="s">
        <v>540</v>
      </c>
    </row>
    <row r="228" spans="1:2" ht="18" customHeight="1">
      <c r="A228" s="262" t="s">
        <v>1115</v>
      </c>
      <c r="B228" s="264" t="s">
        <v>541</v>
      </c>
    </row>
    <row r="229" spans="1:2" ht="18" customHeight="1">
      <c r="A229" s="262" t="s">
        <v>1116</v>
      </c>
      <c r="B229" s="264" t="s">
        <v>542</v>
      </c>
    </row>
    <row r="230" spans="1:2" ht="18" customHeight="1">
      <c r="A230" s="262" t="s">
        <v>1117</v>
      </c>
      <c r="B230" s="264" t="s">
        <v>543</v>
      </c>
    </row>
    <row r="231" spans="1:2" ht="18" customHeight="1">
      <c r="A231" s="262" t="s">
        <v>1118</v>
      </c>
      <c r="B231" s="264" t="s">
        <v>544</v>
      </c>
    </row>
    <row r="232" spans="1:2" ht="18" customHeight="1">
      <c r="A232" s="262" t="s">
        <v>1119</v>
      </c>
      <c r="B232" s="264" t="s">
        <v>545</v>
      </c>
    </row>
    <row r="233" spans="1:2" ht="18" customHeight="1">
      <c r="A233" s="262" t="s">
        <v>1120</v>
      </c>
      <c r="B233" s="264" t="s">
        <v>546</v>
      </c>
    </row>
    <row r="234" spans="1:2" ht="18" customHeight="1">
      <c r="A234" s="262" t="s">
        <v>1121</v>
      </c>
      <c r="B234" s="264" t="s">
        <v>547</v>
      </c>
    </row>
    <row r="235" spans="1:2" ht="18" customHeight="1">
      <c r="A235" s="262" t="s">
        <v>1122</v>
      </c>
      <c r="B235" s="264" t="s">
        <v>548</v>
      </c>
    </row>
    <row r="236" spans="1:2" ht="18" customHeight="1">
      <c r="A236" s="262" t="s">
        <v>1123</v>
      </c>
      <c r="B236" s="264" t="s">
        <v>549</v>
      </c>
    </row>
    <row r="237" spans="1:2" ht="18" customHeight="1">
      <c r="A237" s="262" t="s">
        <v>1124</v>
      </c>
      <c r="B237" s="264" t="s">
        <v>550</v>
      </c>
    </row>
    <row r="238" spans="1:2" ht="18" customHeight="1">
      <c r="A238" s="262" t="s">
        <v>1125</v>
      </c>
      <c r="B238" s="264" t="s">
        <v>551</v>
      </c>
    </row>
    <row r="239" spans="1:2" ht="18" customHeight="1">
      <c r="A239" s="262" t="s">
        <v>1126</v>
      </c>
      <c r="B239" s="264" t="s">
        <v>552</v>
      </c>
    </row>
    <row r="240" spans="1:2" ht="18" customHeight="1">
      <c r="A240" s="262" t="s">
        <v>1127</v>
      </c>
      <c r="B240" s="264" t="s">
        <v>553</v>
      </c>
    </row>
    <row r="241" spans="1:2" ht="18" customHeight="1">
      <c r="A241" s="262" t="s">
        <v>1128</v>
      </c>
      <c r="B241" s="264" t="s">
        <v>554</v>
      </c>
    </row>
    <row r="242" spans="1:2" ht="18" customHeight="1">
      <c r="A242" s="262" t="s">
        <v>1129</v>
      </c>
      <c r="B242" s="264" t="s">
        <v>1130</v>
      </c>
    </row>
    <row r="243" spans="1:2" ht="18" customHeight="1">
      <c r="A243" s="262" t="s">
        <v>1131</v>
      </c>
      <c r="B243" s="264" t="s">
        <v>1132</v>
      </c>
    </row>
    <row r="244" spans="1:2" ht="18" customHeight="1">
      <c r="A244" s="262" t="s">
        <v>1133</v>
      </c>
      <c r="B244" s="264" t="s">
        <v>555</v>
      </c>
    </row>
    <row r="245" spans="1:2" ht="18" customHeight="1">
      <c r="A245" s="262" t="s">
        <v>1134</v>
      </c>
      <c r="B245" s="264" t="s">
        <v>556</v>
      </c>
    </row>
    <row r="246" spans="1:2" ht="18" customHeight="1">
      <c r="A246" s="262" t="s">
        <v>1135</v>
      </c>
      <c r="B246" s="264" t="s">
        <v>557</v>
      </c>
    </row>
    <row r="247" spans="1:2" ht="18" customHeight="1">
      <c r="A247" s="262" t="s">
        <v>1136</v>
      </c>
      <c r="B247" s="264" t="s">
        <v>558</v>
      </c>
    </row>
    <row r="248" spans="1:2" ht="18" customHeight="1">
      <c r="A248" s="262" t="s">
        <v>1137</v>
      </c>
      <c r="B248" s="264" t="s">
        <v>559</v>
      </c>
    </row>
    <row r="249" spans="1:2" ht="18" customHeight="1">
      <c r="A249" s="262" t="s">
        <v>1138</v>
      </c>
      <c r="B249" s="264" t="s">
        <v>560</v>
      </c>
    </row>
    <row r="250" spans="1:2" ht="18" customHeight="1">
      <c r="A250" s="262" t="s">
        <v>1139</v>
      </c>
      <c r="B250" s="264" t="s">
        <v>561</v>
      </c>
    </row>
    <row r="251" spans="1:2" ht="18" customHeight="1">
      <c r="A251" s="262" t="s">
        <v>1140</v>
      </c>
      <c r="B251" s="264" t="s">
        <v>562</v>
      </c>
    </row>
    <row r="252" spans="1:2" ht="18" customHeight="1">
      <c r="A252" s="262" t="s">
        <v>1141</v>
      </c>
      <c r="B252" s="264" t="s">
        <v>563</v>
      </c>
    </row>
    <row r="253" spans="1:2" ht="18" customHeight="1">
      <c r="A253" s="262" t="s">
        <v>1142</v>
      </c>
      <c r="B253" s="264" t="s">
        <v>564</v>
      </c>
    </row>
    <row r="254" spans="1:2" ht="18" customHeight="1">
      <c r="A254" s="262" t="s">
        <v>1143</v>
      </c>
      <c r="B254" s="264" t="s">
        <v>565</v>
      </c>
    </row>
    <row r="255" spans="1:2" ht="18" customHeight="1">
      <c r="A255" s="262" t="s">
        <v>1144</v>
      </c>
      <c r="B255" s="264" t="s">
        <v>566</v>
      </c>
    </row>
    <row r="256" spans="1:2" ht="18" customHeight="1">
      <c r="A256" s="260"/>
      <c r="B256" s="268" t="s">
        <v>1145</v>
      </c>
    </row>
    <row r="257" spans="1:2" ht="18" customHeight="1">
      <c r="A257" s="262" t="s">
        <v>1146</v>
      </c>
      <c r="B257" s="264" t="s">
        <v>567</v>
      </c>
    </row>
    <row r="258" spans="1:2" ht="18" customHeight="1">
      <c r="A258" s="262" t="s">
        <v>1147</v>
      </c>
      <c r="B258" s="264" t="s">
        <v>568</v>
      </c>
    </row>
    <row r="259" spans="1:2" ht="18" customHeight="1">
      <c r="A259" s="262" t="s">
        <v>1148</v>
      </c>
      <c r="B259" s="264" t="s">
        <v>569</v>
      </c>
    </row>
    <row r="260" spans="1:2" ht="18" customHeight="1">
      <c r="A260" s="262" t="s">
        <v>1149</v>
      </c>
      <c r="B260" s="264" t="s">
        <v>570</v>
      </c>
    </row>
    <row r="261" spans="1:2" ht="18" customHeight="1">
      <c r="A261" s="262" t="s">
        <v>1150</v>
      </c>
      <c r="B261" s="264" t="s">
        <v>571</v>
      </c>
    </row>
    <row r="262" spans="1:2" ht="18" customHeight="1">
      <c r="A262" s="262" t="s">
        <v>1151</v>
      </c>
      <c r="B262" s="264" t="s">
        <v>572</v>
      </c>
    </row>
    <row r="263" spans="1:2" ht="18" customHeight="1">
      <c r="A263" s="262" t="s">
        <v>1152</v>
      </c>
      <c r="B263" s="264" t="s">
        <v>573</v>
      </c>
    </row>
    <row r="264" spans="1:2" ht="18" customHeight="1">
      <c r="A264" s="262" t="s">
        <v>1153</v>
      </c>
      <c r="B264" s="264" t="s">
        <v>574</v>
      </c>
    </row>
    <row r="265" spans="1:2" ht="18" customHeight="1">
      <c r="A265" s="262" t="s">
        <v>1154</v>
      </c>
      <c r="B265" s="264" t="s">
        <v>575</v>
      </c>
    </row>
    <row r="266" spans="1:2" ht="18" customHeight="1">
      <c r="A266" s="262" t="s">
        <v>1155</v>
      </c>
      <c r="B266" s="264" t="s">
        <v>576</v>
      </c>
    </row>
    <row r="267" spans="1:2" ht="18" customHeight="1">
      <c r="A267" s="262" t="s">
        <v>1156</v>
      </c>
      <c r="B267" s="264" t="s">
        <v>577</v>
      </c>
    </row>
    <row r="268" spans="1:2" ht="18" customHeight="1">
      <c r="A268" s="262" t="s">
        <v>1157</v>
      </c>
      <c r="B268" s="264" t="s">
        <v>578</v>
      </c>
    </row>
    <row r="269" spans="1:2" ht="18" customHeight="1">
      <c r="A269" s="262" t="s">
        <v>1158</v>
      </c>
      <c r="B269" s="264" t="s">
        <v>1159</v>
      </c>
    </row>
    <row r="270" spans="1:2" ht="18" customHeight="1">
      <c r="A270" s="260"/>
      <c r="B270" s="268" t="s">
        <v>1160</v>
      </c>
    </row>
    <row r="271" spans="1:2" ht="18" customHeight="1">
      <c r="A271" s="262" t="s">
        <v>1161</v>
      </c>
      <c r="B271" s="263" t="s">
        <v>579</v>
      </c>
    </row>
    <row r="272" spans="1:2" ht="18" customHeight="1">
      <c r="A272" s="262" t="s">
        <v>1162</v>
      </c>
      <c r="B272" s="263" t="s">
        <v>580</v>
      </c>
    </row>
    <row r="273" spans="1:2" ht="18" customHeight="1">
      <c r="A273" s="262" t="s">
        <v>1163</v>
      </c>
      <c r="B273" s="263" t="s">
        <v>581</v>
      </c>
    </row>
    <row r="274" spans="1:2" ht="18" customHeight="1">
      <c r="A274" s="262" t="s">
        <v>1164</v>
      </c>
      <c r="B274" s="270" t="s">
        <v>1165</v>
      </c>
    </row>
    <row r="275" spans="1:2" ht="18" customHeight="1">
      <c r="A275" s="262" t="s">
        <v>1166</v>
      </c>
      <c r="B275" s="263" t="s">
        <v>1167</v>
      </c>
    </row>
    <row r="276" spans="1:2" ht="18" customHeight="1">
      <c r="A276" s="260"/>
      <c r="B276" s="261" t="s">
        <v>1168</v>
      </c>
    </row>
    <row r="277" spans="1:2" ht="18" customHeight="1">
      <c r="A277" s="271"/>
      <c r="B277" s="261" t="s">
        <v>1169</v>
      </c>
    </row>
    <row r="278" spans="1:2" ht="18" customHeight="1">
      <c r="A278" s="262" t="s">
        <v>1170</v>
      </c>
      <c r="B278" s="263" t="s">
        <v>1171</v>
      </c>
    </row>
    <row r="279" spans="1:2" ht="18" customHeight="1">
      <c r="A279" s="262" t="s">
        <v>1172</v>
      </c>
      <c r="B279" s="263" t="s">
        <v>1173</v>
      </c>
    </row>
    <row r="280" spans="1:2" ht="18" customHeight="1">
      <c r="A280" s="262" t="s">
        <v>1174</v>
      </c>
      <c r="B280" s="263" t="s">
        <v>1175</v>
      </c>
    </row>
    <row r="281" spans="1:2" ht="18" customHeight="1">
      <c r="A281" s="262" t="s">
        <v>1176</v>
      </c>
      <c r="B281" s="263" t="s">
        <v>1177</v>
      </c>
    </row>
    <row r="282" spans="1:2" ht="18" customHeight="1">
      <c r="A282" s="262" t="s">
        <v>1178</v>
      </c>
      <c r="B282" s="263" t="s">
        <v>1179</v>
      </c>
    </row>
    <row r="283" spans="1:2" ht="18" customHeight="1">
      <c r="A283" s="262" t="s">
        <v>1180</v>
      </c>
      <c r="B283" s="263" t="s">
        <v>1181</v>
      </c>
    </row>
    <row r="284" spans="1:2" ht="18" customHeight="1">
      <c r="A284" s="262" t="s">
        <v>1182</v>
      </c>
      <c r="B284" s="263" t="s">
        <v>1183</v>
      </c>
    </row>
    <row r="285" spans="1:2" ht="18" customHeight="1">
      <c r="A285" s="262" t="s">
        <v>1184</v>
      </c>
      <c r="B285" s="263" t="s">
        <v>1185</v>
      </c>
    </row>
    <row r="286" spans="1:2" ht="27.75" customHeight="1">
      <c r="A286" s="262" t="s">
        <v>1186</v>
      </c>
      <c r="B286" s="263" t="s">
        <v>1187</v>
      </c>
    </row>
    <row r="287" spans="1:2" ht="18" customHeight="1">
      <c r="A287" s="262" t="s">
        <v>1188</v>
      </c>
      <c r="B287" s="263" t="s">
        <v>1189</v>
      </c>
    </row>
    <row r="288" spans="1:2" ht="18" customHeight="1">
      <c r="A288" s="262" t="s">
        <v>1190</v>
      </c>
      <c r="B288" s="263" t="s">
        <v>1191</v>
      </c>
    </row>
    <row r="289" spans="1:2" ht="18" customHeight="1">
      <c r="A289" s="262" t="s">
        <v>1192</v>
      </c>
      <c r="B289" s="263" t="s">
        <v>1193</v>
      </c>
    </row>
    <row r="290" spans="1:2" ht="18" customHeight="1">
      <c r="A290" s="262" t="s">
        <v>1194</v>
      </c>
      <c r="B290" s="263" t="s">
        <v>1195</v>
      </c>
    </row>
    <row r="291" spans="1:2" ht="18" customHeight="1">
      <c r="A291" s="271"/>
      <c r="B291" s="261" t="s">
        <v>1196</v>
      </c>
    </row>
    <row r="292" spans="1:2" ht="18" customHeight="1">
      <c r="A292" s="262" t="s">
        <v>1197</v>
      </c>
      <c r="B292" s="263" t="s">
        <v>600</v>
      </c>
    </row>
    <row r="293" spans="1:2" ht="18" customHeight="1">
      <c r="A293" s="262" t="s">
        <v>1198</v>
      </c>
      <c r="B293" s="263" t="s">
        <v>601</v>
      </c>
    </row>
    <row r="294" spans="1:2" ht="18" customHeight="1">
      <c r="A294" s="262" t="s">
        <v>1199</v>
      </c>
      <c r="B294" s="263" t="s">
        <v>1200</v>
      </c>
    </row>
    <row r="295" spans="1:2" ht="18" customHeight="1">
      <c r="A295" s="262" t="s">
        <v>1201</v>
      </c>
      <c r="B295" s="263" t="s">
        <v>1202</v>
      </c>
    </row>
    <row r="296" spans="1:2" ht="18" customHeight="1">
      <c r="A296" s="262" t="s">
        <v>1203</v>
      </c>
      <c r="B296" s="263" t="s">
        <v>1204</v>
      </c>
    </row>
    <row r="297" spans="1:2" ht="18" customHeight="1">
      <c r="A297" s="262" t="s">
        <v>1205</v>
      </c>
      <c r="B297" s="263" t="s">
        <v>1206</v>
      </c>
    </row>
    <row r="298" spans="1:2" ht="18" customHeight="1">
      <c r="A298" s="262" t="s">
        <v>1207</v>
      </c>
      <c r="B298" s="263" t="s">
        <v>1208</v>
      </c>
    </row>
    <row r="299" spans="1:2" ht="18" customHeight="1">
      <c r="A299" s="262" t="s">
        <v>1209</v>
      </c>
      <c r="B299" s="263" t="s">
        <v>1210</v>
      </c>
    </row>
    <row r="300" spans="1:2" ht="18" customHeight="1">
      <c r="A300" s="262" t="s">
        <v>1211</v>
      </c>
      <c r="B300" s="263" t="s">
        <v>1212</v>
      </c>
    </row>
    <row r="301" spans="1:2" ht="18" customHeight="1">
      <c r="A301" s="262" t="s">
        <v>1213</v>
      </c>
      <c r="B301" s="263" t="s">
        <v>1214</v>
      </c>
    </row>
    <row r="302" spans="1:2" ht="18" customHeight="1">
      <c r="A302" s="262" t="s">
        <v>1215</v>
      </c>
      <c r="B302" s="263" t="s">
        <v>1216</v>
      </c>
    </row>
    <row r="303" spans="1:2" ht="18" customHeight="1">
      <c r="A303" s="262" t="s">
        <v>1217</v>
      </c>
      <c r="B303" s="263" t="s">
        <v>1218</v>
      </c>
    </row>
    <row r="304" spans="1:2" ht="18" customHeight="1">
      <c r="A304" s="262" t="s">
        <v>1219</v>
      </c>
      <c r="B304" s="263" t="s">
        <v>1220</v>
      </c>
    </row>
    <row r="305" spans="1:3" ht="18" customHeight="1">
      <c r="A305" s="262" t="s">
        <v>1221</v>
      </c>
      <c r="B305" s="263" t="s">
        <v>611</v>
      </c>
    </row>
    <row r="306" spans="1:3" ht="18" customHeight="1">
      <c r="A306" s="271"/>
      <c r="B306" s="261" t="s">
        <v>1222</v>
      </c>
    </row>
    <row r="307" spans="1:3" ht="18" customHeight="1">
      <c r="A307" s="262" t="s">
        <v>1223</v>
      </c>
      <c r="B307" s="263" t="s">
        <v>604</v>
      </c>
    </row>
    <row r="308" spans="1:3" ht="18" customHeight="1">
      <c r="A308" s="262" t="s">
        <v>1224</v>
      </c>
      <c r="B308" s="263" t="s">
        <v>1225</v>
      </c>
    </row>
    <row r="309" spans="1:3" ht="18" customHeight="1">
      <c r="A309" s="262" t="s">
        <v>1226</v>
      </c>
      <c r="B309" s="263" t="s">
        <v>1227</v>
      </c>
    </row>
    <row r="310" spans="1:3" ht="18" customHeight="1">
      <c r="A310" s="262" t="s">
        <v>1228</v>
      </c>
      <c r="B310" s="263" t="s">
        <v>1506</v>
      </c>
      <c r="C310" s="50"/>
    </row>
    <row r="311" spans="1:3" ht="18" customHeight="1">
      <c r="A311" s="262" t="s">
        <v>1229</v>
      </c>
      <c r="B311" s="263" t="s">
        <v>1230</v>
      </c>
    </row>
    <row r="312" spans="1:3" ht="18" customHeight="1">
      <c r="A312" s="262" t="s">
        <v>1231</v>
      </c>
      <c r="B312" s="263" t="s">
        <v>603</v>
      </c>
    </row>
    <row r="313" spans="1:3" ht="18" customHeight="1">
      <c r="A313" s="271"/>
      <c r="B313" s="261" t="s">
        <v>1232</v>
      </c>
    </row>
    <row r="314" spans="1:3" ht="18" customHeight="1">
      <c r="A314" s="262" t="s">
        <v>1233</v>
      </c>
      <c r="B314" s="263" t="s">
        <v>1234</v>
      </c>
    </row>
    <row r="315" spans="1:3" ht="18" customHeight="1">
      <c r="A315" s="262" t="s">
        <v>1235</v>
      </c>
      <c r="B315" s="263" t="s">
        <v>1236</v>
      </c>
    </row>
    <row r="316" spans="1:3" ht="18" customHeight="1">
      <c r="A316" s="262" t="s">
        <v>1237</v>
      </c>
      <c r="B316" s="263" t="s">
        <v>1238</v>
      </c>
    </row>
    <row r="317" spans="1:3" ht="18" customHeight="1">
      <c r="A317" s="262" t="s">
        <v>1239</v>
      </c>
      <c r="B317" s="263" t="s">
        <v>1240</v>
      </c>
    </row>
    <row r="318" spans="1:3" ht="18" customHeight="1">
      <c r="A318" s="262" t="s">
        <v>1241</v>
      </c>
      <c r="B318" s="263" t="s">
        <v>1242</v>
      </c>
    </row>
    <row r="319" spans="1:3" ht="18" customHeight="1">
      <c r="A319" s="271"/>
      <c r="B319" s="261" t="s">
        <v>1243</v>
      </c>
    </row>
    <row r="320" spans="1:3" ht="18" customHeight="1">
      <c r="A320" s="262" t="s">
        <v>1244</v>
      </c>
      <c r="B320" s="263" t="s">
        <v>605</v>
      </c>
    </row>
    <row r="321" spans="1:2" ht="18" customHeight="1">
      <c r="A321" s="262" t="s">
        <v>1245</v>
      </c>
      <c r="B321" s="263" t="s">
        <v>1246</v>
      </c>
    </row>
    <row r="322" spans="1:2" ht="21" customHeight="1">
      <c r="A322" s="262" t="s">
        <v>1247</v>
      </c>
      <c r="B322" s="263" t="s">
        <v>1248</v>
      </c>
    </row>
    <row r="323" spans="1:2" ht="18" customHeight="1">
      <c r="A323" s="262" t="s">
        <v>1249</v>
      </c>
      <c r="B323" s="263" t="s">
        <v>1250</v>
      </c>
    </row>
    <row r="324" spans="1:2" ht="18" customHeight="1">
      <c r="A324" s="262" t="s">
        <v>1251</v>
      </c>
      <c r="B324" s="263" t="s">
        <v>610</v>
      </c>
    </row>
    <row r="325" spans="1:2" ht="18" customHeight="1">
      <c r="A325" s="271"/>
      <c r="B325" s="261" t="s">
        <v>1252</v>
      </c>
    </row>
    <row r="326" spans="1:2" ht="18" customHeight="1">
      <c r="A326" s="262" t="s">
        <v>1253</v>
      </c>
      <c r="B326" s="263" t="s">
        <v>602</v>
      </c>
    </row>
    <row r="327" spans="1:2" ht="18" customHeight="1">
      <c r="A327" s="262" t="s">
        <v>1254</v>
      </c>
      <c r="B327" s="263" t="s">
        <v>608</v>
      </c>
    </row>
    <row r="328" spans="1:2" ht="18" customHeight="1">
      <c r="A328" s="262" t="s">
        <v>1255</v>
      </c>
      <c r="B328" s="263" t="s">
        <v>1256</v>
      </c>
    </row>
    <row r="329" spans="1:2" ht="18" customHeight="1">
      <c r="A329" s="262" t="s">
        <v>1257</v>
      </c>
      <c r="B329" s="263" t="s">
        <v>1258</v>
      </c>
    </row>
    <row r="330" spans="1:2" ht="18" customHeight="1">
      <c r="A330" s="262" t="s">
        <v>1259</v>
      </c>
      <c r="B330" s="263" t="s">
        <v>380</v>
      </c>
    </row>
    <row r="331" spans="1:2" ht="18" customHeight="1">
      <c r="A331" s="271"/>
      <c r="B331" s="261" t="s">
        <v>1260</v>
      </c>
    </row>
    <row r="332" spans="1:2" ht="18" customHeight="1">
      <c r="A332" s="262" t="s">
        <v>1261</v>
      </c>
      <c r="B332" s="263" t="s">
        <v>1262</v>
      </c>
    </row>
    <row r="333" spans="1:2" ht="18" customHeight="1">
      <c r="A333" s="262" t="s">
        <v>1263</v>
      </c>
      <c r="B333" s="263" t="s">
        <v>1264</v>
      </c>
    </row>
    <row r="334" spans="1:2" ht="18" customHeight="1">
      <c r="A334" s="262" t="s">
        <v>1265</v>
      </c>
      <c r="B334" s="263" t="s">
        <v>582</v>
      </c>
    </row>
    <row r="335" spans="1:2" ht="18" customHeight="1">
      <c r="A335" s="262" t="s">
        <v>1266</v>
      </c>
      <c r="B335" s="263" t="s">
        <v>583</v>
      </c>
    </row>
    <row r="336" spans="1:2" ht="18" customHeight="1">
      <c r="A336" s="262" t="s">
        <v>1267</v>
      </c>
      <c r="B336" s="263" t="s">
        <v>584</v>
      </c>
    </row>
    <row r="337" spans="1:2" ht="18" customHeight="1">
      <c r="A337" s="262" t="s">
        <v>1268</v>
      </c>
      <c r="B337" s="263" t="s">
        <v>585</v>
      </c>
    </row>
    <row r="338" spans="1:2" ht="18" customHeight="1">
      <c r="A338" s="262" t="s">
        <v>1269</v>
      </c>
      <c r="B338" s="263" t="s">
        <v>586</v>
      </c>
    </row>
    <row r="339" spans="1:2" ht="18" customHeight="1">
      <c r="A339" s="262" t="s">
        <v>1270</v>
      </c>
      <c r="B339" s="263" t="s">
        <v>587</v>
      </c>
    </row>
    <row r="340" spans="1:2" ht="18" customHeight="1">
      <c r="A340" s="262" t="s">
        <v>1271</v>
      </c>
      <c r="B340" s="263" t="s">
        <v>588</v>
      </c>
    </row>
    <row r="341" spans="1:2" ht="18" customHeight="1">
      <c r="A341" s="262" t="s">
        <v>1272</v>
      </c>
      <c r="B341" s="263" t="s">
        <v>589</v>
      </c>
    </row>
    <row r="342" spans="1:2" ht="18" customHeight="1">
      <c r="A342" s="262" t="s">
        <v>1273</v>
      </c>
      <c r="B342" s="263" t="s">
        <v>1274</v>
      </c>
    </row>
    <row r="343" spans="1:2" ht="18" customHeight="1">
      <c r="A343" s="262" t="s">
        <v>1275</v>
      </c>
      <c r="B343" s="263" t="s">
        <v>590</v>
      </c>
    </row>
    <row r="344" spans="1:2" ht="18" customHeight="1">
      <c r="A344" s="262" t="s">
        <v>1276</v>
      </c>
      <c r="B344" s="263" t="s">
        <v>591</v>
      </c>
    </row>
    <row r="345" spans="1:2" ht="18" customHeight="1">
      <c r="A345" s="262" t="s">
        <v>1277</v>
      </c>
      <c r="B345" s="263" t="s">
        <v>1278</v>
      </c>
    </row>
    <row r="346" spans="1:2" ht="18" customHeight="1">
      <c r="A346" s="262" t="s">
        <v>1279</v>
      </c>
      <c r="B346" s="263" t="s">
        <v>598</v>
      </c>
    </row>
    <row r="347" spans="1:2" ht="18" customHeight="1">
      <c r="A347" s="262" t="s">
        <v>1280</v>
      </c>
      <c r="B347" s="263" t="s">
        <v>1281</v>
      </c>
    </row>
    <row r="348" spans="1:2" ht="18" customHeight="1">
      <c r="A348" s="262" t="s">
        <v>1282</v>
      </c>
      <c r="B348" s="263" t="s">
        <v>612</v>
      </c>
    </row>
    <row r="349" spans="1:2" ht="18" customHeight="1">
      <c r="A349" s="262" t="s">
        <v>1283</v>
      </c>
      <c r="B349" s="263" t="s">
        <v>1284</v>
      </c>
    </row>
    <row r="350" spans="1:2" ht="18" customHeight="1">
      <c r="A350" s="262" t="s">
        <v>1285</v>
      </c>
      <c r="B350" s="263" t="s">
        <v>599</v>
      </c>
    </row>
    <row r="351" spans="1:2" ht="18" customHeight="1">
      <c r="A351" s="262" t="s">
        <v>1286</v>
      </c>
      <c r="B351" s="263" t="s">
        <v>1287</v>
      </c>
    </row>
    <row r="352" spans="1:2" ht="18" customHeight="1">
      <c r="A352" s="262" t="s">
        <v>1288</v>
      </c>
      <c r="B352" s="263" t="s">
        <v>1289</v>
      </c>
    </row>
    <row r="353" spans="1:2" ht="18" customHeight="1">
      <c r="A353" s="262" t="s">
        <v>1290</v>
      </c>
      <c r="B353" s="263" t="s">
        <v>1291</v>
      </c>
    </row>
    <row r="354" spans="1:2" ht="18" customHeight="1">
      <c r="A354" s="262" t="s">
        <v>1292</v>
      </c>
      <c r="B354" s="263" t="s">
        <v>595</v>
      </c>
    </row>
    <row r="355" spans="1:2" ht="18" customHeight="1">
      <c r="A355" s="262" t="s">
        <v>1293</v>
      </c>
      <c r="B355" s="263" t="s">
        <v>596</v>
      </c>
    </row>
    <row r="356" spans="1:2" ht="18" customHeight="1">
      <c r="A356" s="262" t="s">
        <v>1294</v>
      </c>
      <c r="B356" s="263" t="s">
        <v>592</v>
      </c>
    </row>
    <row r="357" spans="1:2" ht="18" customHeight="1">
      <c r="A357" s="262" t="s">
        <v>1295</v>
      </c>
      <c r="B357" s="263" t="s">
        <v>593</v>
      </c>
    </row>
    <row r="358" spans="1:2" ht="18" customHeight="1">
      <c r="A358" s="262" t="s">
        <v>1296</v>
      </c>
      <c r="B358" s="263" t="s">
        <v>594</v>
      </c>
    </row>
    <row r="359" spans="1:2" ht="18" customHeight="1">
      <c r="A359" s="262" t="s">
        <v>1297</v>
      </c>
      <c r="B359" s="263" t="s">
        <v>1298</v>
      </c>
    </row>
    <row r="360" spans="1:2" ht="18" customHeight="1">
      <c r="A360" s="262" t="s">
        <v>1299</v>
      </c>
      <c r="B360" s="263" t="s">
        <v>607</v>
      </c>
    </row>
    <row r="361" spans="1:2" ht="18" customHeight="1">
      <c r="A361" s="262" t="s">
        <v>1300</v>
      </c>
      <c r="B361" s="263" t="s">
        <v>597</v>
      </c>
    </row>
    <row r="362" spans="1:2" ht="18" customHeight="1">
      <c r="A362" s="262" t="s">
        <v>1301</v>
      </c>
      <c r="B362" s="263" t="s">
        <v>1302</v>
      </c>
    </row>
    <row r="363" spans="1:2" ht="18" customHeight="1">
      <c r="A363" s="262" t="s">
        <v>1303</v>
      </c>
      <c r="B363" s="263" t="s">
        <v>606</v>
      </c>
    </row>
    <row r="364" spans="1:2" ht="18" customHeight="1">
      <c r="A364" s="262" t="s">
        <v>1304</v>
      </c>
      <c r="B364" s="263" t="s">
        <v>1305</v>
      </c>
    </row>
    <row r="365" spans="1:2" ht="18" customHeight="1">
      <c r="A365" s="262" t="s">
        <v>1306</v>
      </c>
      <c r="B365" s="263" t="s">
        <v>1307</v>
      </c>
    </row>
    <row r="366" spans="1:2" ht="18" customHeight="1">
      <c r="A366" s="262" t="s">
        <v>1308</v>
      </c>
      <c r="B366" s="263" t="s">
        <v>1309</v>
      </c>
    </row>
    <row r="367" spans="1:2" ht="18" customHeight="1">
      <c r="A367" s="262" t="s">
        <v>1310</v>
      </c>
      <c r="B367" s="263" t="s">
        <v>1311</v>
      </c>
    </row>
    <row r="368" spans="1:2" ht="18" customHeight="1">
      <c r="A368" s="260"/>
      <c r="B368" s="261" t="s">
        <v>1312</v>
      </c>
    </row>
    <row r="369" spans="1:2" ht="18" customHeight="1">
      <c r="A369" s="262" t="s">
        <v>1313</v>
      </c>
      <c r="B369" s="265" t="s">
        <v>674</v>
      </c>
    </row>
    <row r="370" spans="1:2" ht="18" customHeight="1">
      <c r="A370" s="262" t="s">
        <v>1314</v>
      </c>
      <c r="B370" s="265" t="s">
        <v>1315</v>
      </c>
    </row>
    <row r="371" spans="1:2" ht="18" customHeight="1">
      <c r="A371" s="262" t="s">
        <v>1316</v>
      </c>
      <c r="B371" s="263" t="s">
        <v>673</v>
      </c>
    </row>
    <row r="372" spans="1:2" ht="18" customHeight="1">
      <c r="A372" s="262" t="s">
        <v>1317</v>
      </c>
      <c r="B372" s="263" t="s">
        <v>1318</v>
      </c>
    </row>
    <row r="373" spans="1:2" ht="18" customHeight="1">
      <c r="A373" s="262" t="s">
        <v>1319</v>
      </c>
      <c r="B373" s="263" t="s">
        <v>1320</v>
      </c>
    </row>
    <row r="374" spans="1:2" ht="18" customHeight="1">
      <c r="A374" s="262" t="s">
        <v>1321</v>
      </c>
      <c r="B374" s="263" t="s">
        <v>1322</v>
      </c>
    </row>
    <row r="375" spans="1:2" ht="18" customHeight="1">
      <c r="A375" s="262" t="s">
        <v>1323</v>
      </c>
      <c r="B375" s="263" t="s">
        <v>672</v>
      </c>
    </row>
    <row r="376" spans="1:2" ht="18" customHeight="1">
      <c r="A376" s="262" t="s">
        <v>1324</v>
      </c>
      <c r="B376" s="263" t="s">
        <v>671</v>
      </c>
    </row>
    <row r="377" spans="1:2" ht="18" customHeight="1">
      <c r="A377" s="262" t="s">
        <v>1325</v>
      </c>
      <c r="B377" s="263" t="s">
        <v>1326</v>
      </c>
    </row>
    <row r="378" spans="1:2" ht="18" customHeight="1">
      <c r="A378" s="262" t="s">
        <v>1327</v>
      </c>
      <c r="B378" s="263" t="s">
        <v>678</v>
      </c>
    </row>
    <row r="379" spans="1:2" ht="18" customHeight="1">
      <c r="A379" s="262" t="s">
        <v>1328</v>
      </c>
      <c r="B379" s="263" t="s">
        <v>683</v>
      </c>
    </row>
    <row r="380" spans="1:2" ht="18" customHeight="1">
      <c r="A380" s="262" t="s">
        <v>1329</v>
      </c>
      <c r="B380" s="263" t="s">
        <v>682</v>
      </c>
    </row>
    <row r="381" spans="1:2" ht="18" customHeight="1">
      <c r="A381" s="262" t="s">
        <v>1330</v>
      </c>
      <c r="B381" s="263" t="s">
        <v>686</v>
      </c>
    </row>
    <row r="382" spans="1:2" ht="18" customHeight="1">
      <c r="A382" s="262" t="s">
        <v>1331</v>
      </c>
      <c r="B382" s="263" t="s">
        <v>1332</v>
      </c>
    </row>
    <row r="383" spans="1:2" ht="18" customHeight="1">
      <c r="A383" s="262" t="s">
        <v>1333</v>
      </c>
      <c r="B383" s="263" t="s">
        <v>1334</v>
      </c>
    </row>
    <row r="384" spans="1:2" ht="18" customHeight="1">
      <c r="A384" s="262" t="s">
        <v>1335</v>
      </c>
      <c r="B384" s="263" t="s">
        <v>1336</v>
      </c>
    </row>
    <row r="385" spans="1:2" ht="18" customHeight="1">
      <c r="A385" s="262" t="s">
        <v>1337</v>
      </c>
      <c r="B385" s="263" t="s">
        <v>1338</v>
      </c>
    </row>
    <row r="386" spans="1:2" ht="18" customHeight="1">
      <c r="A386" s="262" t="s">
        <v>1339</v>
      </c>
      <c r="B386" s="263" t="s">
        <v>1340</v>
      </c>
    </row>
    <row r="387" spans="1:2" ht="18" customHeight="1">
      <c r="A387" s="262" t="s">
        <v>1341</v>
      </c>
      <c r="B387" s="263" t="s">
        <v>694</v>
      </c>
    </row>
    <row r="388" spans="1:2" ht="18" customHeight="1">
      <c r="A388" s="262" t="s">
        <v>1342</v>
      </c>
      <c r="B388" s="263" t="s">
        <v>1343</v>
      </c>
    </row>
    <row r="389" spans="1:2" ht="18" customHeight="1">
      <c r="A389" s="262" t="s">
        <v>1344</v>
      </c>
      <c r="B389" s="263" t="s">
        <v>666</v>
      </c>
    </row>
    <row r="390" spans="1:2" ht="18" customHeight="1">
      <c r="A390" s="262" t="s">
        <v>1345</v>
      </c>
      <c r="B390" s="263" t="s">
        <v>667</v>
      </c>
    </row>
    <row r="391" spans="1:2" ht="18" customHeight="1">
      <c r="A391" s="262" t="s">
        <v>1346</v>
      </c>
      <c r="B391" s="263" t="s">
        <v>668</v>
      </c>
    </row>
    <row r="392" spans="1:2" ht="18" customHeight="1">
      <c r="A392" s="262" t="s">
        <v>1347</v>
      </c>
      <c r="B392" s="263" t="s">
        <v>669</v>
      </c>
    </row>
    <row r="393" spans="1:2" ht="18" customHeight="1">
      <c r="A393" s="262" t="s">
        <v>1348</v>
      </c>
      <c r="B393" s="263" t="s">
        <v>670</v>
      </c>
    </row>
    <row r="394" spans="1:2" ht="18" customHeight="1">
      <c r="A394" s="262" t="s">
        <v>1349</v>
      </c>
      <c r="B394" s="263" t="s">
        <v>675</v>
      </c>
    </row>
    <row r="395" spans="1:2" ht="18" customHeight="1">
      <c r="A395" s="262" t="s">
        <v>1350</v>
      </c>
      <c r="B395" s="263" t="s">
        <v>676</v>
      </c>
    </row>
    <row r="396" spans="1:2" ht="18" customHeight="1">
      <c r="A396" s="262" t="s">
        <v>1351</v>
      </c>
      <c r="B396" s="263" t="s">
        <v>677</v>
      </c>
    </row>
    <row r="397" spans="1:2" ht="18" customHeight="1">
      <c r="A397" s="262" t="s">
        <v>1352</v>
      </c>
      <c r="B397" s="263" t="s">
        <v>679</v>
      </c>
    </row>
    <row r="398" spans="1:2" ht="18" customHeight="1">
      <c r="A398" s="262" t="s">
        <v>1353</v>
      </c>
      <c r="B398" s="263" t="s">
        <v>680</v>
      </c>
    </row>
    <row r="399" spans="1:2" ht="18" customHeight="1">
      <c r="A399" s="262" t="s">
        <v>1354</v>
      </c>
      <c r="B399" s="263" t="s">
        <v>681</v>
      </c>
    </row>
    <row r="400" spans="1:2" ht="18" customHeight="1">
      <c r="A400" s="262" t="s">
        <v>1355</v>
      </c>
      <c r="B400" s="263" t="s">
        <v>684</v>
      </c>
    </row>
    <row r="401" spans="1:2" ht="18" customHeight="1">
      <c r="A401" s="262" t="s">
        <v>1356</v>
      </c>
      <c r="B401" s="263" t="s">
        <v>685</v>
      </c>
    </row>
    <row r="402" spans="1:2" ht="18" customHeight="1">
      <c r="A402" s="262" t="s">
        <v>1357</v>
      </c>
      <c r="B402" s="263" t="s">
        <v>691</v>
      </c>
    </row>
    <row r="403" spans="1:2" ht="18" customHeight="1">
      <c r="A403" s="262" t="s">
        <v>1358</v>
      </c>
      <c r="B403" s="263" t="s">
        <v>692</v>
      </c>
    </row>
    <row r="404" spans="1:2" ht="18" customHeight="1">
      <c r="A404" s="262" t="s">
        <v>1359</v>
      </c>
      <c r="B404" s="263" t="s">
        <v>693</v>
      </c>
    </row>
    <row r="405" spans="1:2" ht="18" customHeight="1">
      <c r="A405" s="271" t="s">
        <v>1360</v>
      </c>
      <c r="B405" s="266" t="s">
        <v>1361</v>
      </c>
    </row>
    <row r="406" spans="1:2" ht="18" customHeight="1">
      <c r="A406" s="262" t="s">
        <v>1362</v>
      </c>
      <c r="B406" s="263" t="s">
        <v>687</v>
      </c>
    </row>
    <row r="407" spans="1:2" ht="18" customHeight="1">
      <c r="A407" s="262" t="s">
        <v>1363</v>
      </c>
      <c r="B407" s="263" t="s">
        <v>1364</v>
      </c>
    </row>
    <row r="408" spans="1:2" ht="18" customHeight="1">
      <c r="A408" s="262" t="s">
        <v>1365</v>
      </c>
      <c r="B408" s="263" t="s">
        <v>1366</v>
      </c>
    </row>
    <row r="409" spans="1:2" ht="18" customHeight="1">
      <c r="A409" s="262" t="s">
        <v>1367</v>
      </c>
      <c r="B409" s="263" t="s">
        <v>690</v>
      </c>
    </row>
    <row r="410" spans="1:2" ht="18" customHeight="1">
      <c r="A410" s="262" t="s">
        <v>1368</v>
      </c>
      <c r="B410" s="265" t="s">
        <v>1369</v>
      </c>
    </row>
    <row r="411" spans="1:2" ht="18" customHeight="1">
      <c r="A411" s="262" t="s">
        <v>1370</v>
      </c>
      <c r="B411" s="264" t="s">
        <v>688</v>
      </c>
    </row>
    <row r="412" spans="1:2" ht="18" customHeight="1">
      <c r="A412" s="262" t="s">
        <v>1371</v>
      </c>
      <c r="B412" s="264" t="s">
        <v>689</v>
      </c>
    </row>
    <row r="413" spans="1:2" ht="18" customHeight="1">
      <c r="A413" s="262" t="s">
        <v>1372</v>
      </c>
      <c r="B413" s="264" t="s">
        <v>1373</v>
      </c>
    </row>
    <row r="414" spans="1:2" ht="18" customHeight="1">
      <c r="A414" s="262" t="s">
        <v>1374</v>
      </c>
      <c r="B414" s="264" t="s">
        <v>1375</v>
      </c>
    </row>
    <row r="415" spans="1:2" ht="18" customHeight="1">
      <c r="A415" s="262" t="s">
        <v>1376</v>
      </c>
      <c r="B415" s="264" t="s">
        <v>1377</v>
      </c>
    </row>
    <row r="416" spans="1:2" ht="18" customHeight="1">
      <c r="A416" s="262" t="s">
        <v>1378</v>
      </c>
      <c r="B416" s="263" t="s">
        <v>1379</v>
      </c>
    </row>
    <row r="417" spans="1:2" ht="18" customHeight="1">
      <c r="A417" s="260"/>
      <c r="B417" s="261" t="s">
        <v>1380</v>
      </c>
    </row>
    <row r="418" spans="1:2" ht="18" customHeight="1">
      <c r="A418" s="262" t="s">
        <v>1381</v>
      </c>
      <c r="B418" s="264" t="s">
        <v>615</v>
      </c>
    </row>
    <row r="419" spans="1:2" ht="18" customHeight="1">
      <c r="A419" s="262" t="s">
        <v>1382</v>
      </c>
      <c r="B419" s="264" t="s">
        <v>616</v>
      </c>
    </row>
    <row r="420" spans="1:2" ht="18" customHeight="1">
      <c r="A420" s="262" t="s">
        <v>1383</v>
      </c>
      <c r="B420" s="264" t="s">
        <v>617</v>
      </c>
    </row>
    <row r="421" spans="1:2" ht="18" customHeight="1">
      <c r="A421" s="262" t="s">
        <v>1384</v>
      </c>
      <c r="B421" s="264" t="s">
        <v>618</v>
      </c>
    </row>
    <row r="422" spans="1:2" ht="18" customHeight="1">
      <c r="A422" s="262" t="s">
        <v>1385</v>
      </c>
      <c r="B422" s="264" t="s">
        <v>619</v>
      </c>
    </row>
    <row r="423" spans="1:2" ht="18" customHeight="1">
      <c r="A423" s="262" t="s">
        <v>1386</v>
      </c>
      <c r="B423" s="264" t="s">
        <v>1387</v>
      </c>
    </row>
    <row r="424" spans="1:2" ht="18" customHeight="1">
      <c r="A424" s="262" t="s">
        <v>1388</v>
      </c>
      <c r="B424" s="264" t="s">
        <v>620</v>
      </c>
    </row>
    <row r="425" spans="1:2" ht="18" customHeight="1">
      <c r="A425" s="262" t="s">
        <v>1389</v>
      </c>
      <c r="B425" s="264" t="s">
        <v>621</v>
      </c>
    </row>
    <row r="426" spans="1:2" ht="18" customHeight="1">
      <c r="A426" s="262" t="s">
        <v>1390</v>
      </c>
      <c r="B426" s="264" t="s">
        <v>622</v>
      </c>
    </row>
    <row r="427" spans="1:2" ht="18" customHeight="1">
      <c r="A427" s="262" t="s">
        <v>1391</v>
      </c>
      <c r="B427" s="264" t="s">
        <v>623</v>
      </c>
    </row>
    <row r="428" spans="1:2" ht="18" customHeight="1">
      <c r="A428" s="262" t="s">
        <v>1392</v>
      </c>
      <c r="B428" s="264" t="s">
        <v>624</v>
      </c>
    </row>
    <row r="429" spans="1:2" ht="18" customHeight="1">
      <c r="A429" s="262" t="s">
        <v>1393</v>
      </c>
      <c r="B429" s="264" t="s">
        <v>625</v>
      </c>
    </row>
    <row r="430" spans="1:2" ht="18" customHeight="1">
      <c r="A430" s="262" t="s">
        <v>1394</v>
      </c>
      <c r="B430" s="264" t="s">
        <v>626</v>
      </c>
    </row>
    <row r="431" spans="1:2" ht="18" customHeight="1">
      <c r="A431" s="262" t="s">
        <v>1395</v>
      </c>
      <c r="B431" s="264" t="s">
        <v>627</v>
      </c>
    </row>
    <row r="432" spans="1:2" ht="18" customHeight="1">
      <c r="A432" s="262" t="s">
        <v>1396</v>
      </c>
      <c r="B432" s="264" t="s">
        <v>628</v>
      </c>
    </row>
    <row r="433" spans="1:2" ht="18" customHeight="1">
      <c r="A433" s="262" t="s">
        <v>1397</v>
      </c>
      <c r="B433" s="264" t="s">
        <v>629</v>
      </c>
    </row>
    <row r="434" spans="1:2" ht="18" customHeight="1">
      <c r="A434" s="262" t="s">
        <v>1398</v>
      </c>
      <c r="B434" s="264" t="s">
        <v>630</v>
      </c>
    </row>
    <row r="435" spans="1:2" ht="18" customHeight="1">
      <c r="A435" s="262" t="s">
        <v>1399</v>
      </c>
      <c r="B435" s="264" t="s">
        <v>631</v>
      </c>
    </row>
    <row r="436" spans="1:2" ht="18" customHeight="1">
      <c r="A436" s="262" t="s">
        <v>1400</v>
      </c>
      <c r="B436" s="264" t="s">
        <v>632</v>
      </c>
    </row>
    <row r="437" spans="1:2" ht="18" customHeight="1">
      <c r="A437" s="262" t="s">
        <v>1401</v>
      </c>
      <c r="B437" s="264" t="s">
        <v>633</v>
      </c>
    </row>
    <row r="438" spans="1:2" ht="18" customHeight="1">
      <c r="A438" s="262" t="s">
        <v>1402</v>
      </c>
      <c r="B438" s="264" t="s">
        <v>634</v>
      </c>
    </row>
    <row r="439" spans="1:2" ht="18" customHeight="1">
      <c r="A439" s="262" t="s">
        <v>1403</v>
      </c>
      <c r="B439" s="264" t="s">
        <v>635</v>
      </c>
    </row>
    <row r="440" spans="1:2" ht="18" customHeight="1">
      <c r="A440" s="262" t="s">
        <v>1404</v>
      </c>
      <c r="B440" s="264" t="s">
        <v>636</v>
      </c>
    </row>
    <row r="441" spans="1:2" ht="18" customHeight="1">
      <c r="A441" s="262" t="s">
        <v>1405</v>
      </c>
      <c r="B441" s="264" t="s">
        <v>637</v>
      </c>
    </row>
    <row r="442" spans="1:2" ht="18" customHeight="1">
      <c r="A442" s="262" t="s">
        <v>1406</v>
      </c>
      <c r="B442" s="264" t="s">
        <v>638</v>
      </c>
    </row>
    <row r="443" spans="1:2" ht="18" customHeight="1">
      <c r="A443" s="262" t="s">
        <v>1407</v>
      </c>
      <c r="B443" s="264" t="s">
        <v>639</v>
      </c>
    </row>
    <row r="444" spans="1:2" ht="18" customHeight="1">
      <c r="A444" s="262" t="s">
        <v>1408</v>
      </c>
      <c r="B444" s="264" t="s">
        <v>640</v>
      </c>
    </row>
    <row r="445" spans="1:2" ht="18" customHeight="1">
      <c r="A445" s="262" t="s">
        <v>1409</v>
      </c>
      <c r="B445" s="264" t="s">
        <v>641</v>
      </c>
    </row>
    <row r="446" spans="1:2" ht="18" customHeight="1">
      <c r="A446" s="262" t="s">
        <v>1410</v>
      </c>
      <c r="B446" s="264" t="s">
        <v>642</v>
      </c>
    </row>
    <row r="447" spans="1:2" ht="18" customHeight="1">
      <c r="A447" s="262" t="s">
        <v>1411</v>
      </c>
      <c r="B447" s="264" t="s">
        <v>643</v>
      </c>
    </row>
    <row r="448" spans="1:2" ht="18" customHeight="1">
      <c r="A448" s="262" t="s">
        <v>1412</v>
      </c>
      <c r="B448" s="264" t="s">
        <v>1413</v>
      </c>
    </row>
    <row r="449" spans="1:2" ht="18" customHeight="1">
      <c r="A449" s="262" t="s">
        <v>1414</v>
      </c>
      <c r="B449" s="264" t="s">
        <v>644</v>
      </c>
    </row>
    <row r="450" spans="1:2" ht="18" customHeight="1">
      <c r="A450" s="262" t="s">
        <v>1415</v>
      </c>
      <c r="B450" s="264" t="s">
        <v>645</v>
      </c>
    </row>
    <row r="451" spans="1:2" ht="18" customHeight="1">
      <c r="A451" s="262" t="s">
        <v>1416</v>
      </c>
      <c r="B451" s="264" t="s">
        <v>646</v>
      </c>
    </row>
    <row r="452" spans="1:2" ht="18" customHeight="1">
      <c r="A452" s="262" t="s">
        <v>1417</v>
      </c>
      <c r="B452" s="264" t="s">
        <v>647</v>
      </c>
    </row>
    <row r="453" spans="1:2" ht="18" customHeight="1">
      <c r="A453" s="262" t="s">
        <v>1418</v>
      </c>
      <c r="B453" s="264" t="s">
        <v>648</v>
      </c>
    </row>
    <row r="454" spans="1:2" ht="18" customHeight="1">
      <c r="A454" s="262" t="s">
        <v>1419</v>
      </c>
      <c r="B454" s="264" t="s">
        <v>649</v>
      </c>
    </row>
    <row r="455" spans="1:2" ht="18" customHeight="1">
      <c r="A455" s="262" t="s">
        <v>1420</v>
      </c>
      <c r="B455" s="264" t="s">
        <v>650</v>
      </c>
    </row>
    <row r="456" spans="1:2" ht="18" customHeight="1">
      <c r="A456" s="262" t="s">
        <v>1421</v>
      </c>
      <c r="B456" s="264" t="s">
        <v>651</v>
      </c>
    </row>
    <row r="457" spans="1:2" ht="18" customHeight="1">
      <c r="A457" s="262" t="s">
        <v>1422</v>
      </c>
      <c r="B457" s="264" t="s">
        <v>652</v>
      </c>
    </row>
    <row r="458" spans="1:2" ht="18" customHeight="1">
      <c r="A458" s="262" t="s">
        <v>1423</v>
      </c>
      <c r="B458" s="264" t="s">
        <v>653</v>
      </c>
    </row>
    <row r="459" spans="1:2" ht="18" customHeight="1">
      <c r="A459" s="262" t="s">
        <v>1424</v>
      </c>
      <c r="B459" s="264" t="s">
        <v>654</v>
      </c>
    </row>
    <row r="460" spans="1:2" ht="18" customHeight="1">
      <c r="A460" s="262" t="s">
        <v>1425</v>
      </c>
      <c r="B460" s="264" t="s">
        <v>655</v>
      </c>
    </row>
    <row r="461" spans="1:2" ht="18" customHeight="1">
      <c r="A461" s="262" t="s">
        <v>1426</v>
      </c>
      <c r="B461" s="264" t="s">
        <v>656</v>
      </c>
    </row>
    <row r="462" spans="1:2" ht="18" customHeight="1">
      <c r="A462" s="262" t="s">
        <v>1427</v>
      </c>
      <c r="B462" s="264" t="s">
        <v>657</v>
      </c>
    </row>
    <row r="463" spans="1:2" ht="18" customHeight="1">
      <c r="A463" s="262" t="s">
        <v>1428</v>
      </c>
      <c r="B463" s="264" t="s">
        <v>658</v>
      </c>
    </row>
    <row r="464" spans="1:2" ht="18" customHeight="1">
      <c r="A464" s="262" t="s">
        <v>1429</v>
      </c>
      <c r="B464" s="264" t="s">
        <v>1430</v>
      </c>
    </row>
    <row r="465" spans="1:2" ht="18" customHeight="1">
      <c r="A465" s="262" t="s">
        <v>1431</v>
      </c>
      <c r="B465" s="264" t="s">
        <v>659</v>
      </c>
    </row>
    <row r="466" spans="1:2" ht="18" customHeight="1">
      <c r="A466" s="262" t="s">
        <v>1432</v>
      </c>
      <c r="B466" s="264" t="s">
        <v>660</v>
      </c>
    </row>
    <row r="467" spans="1:2" ht="18" customHeight="1">
      <c r="A467" s="262" t="s">
        <v>1433</v>
      </c>
      <c r="B467" s="264" t="s">
        <v>661</v>
      </c>
    </row>
    <row r="468" spans="1:2" ht="18" customHeight="1">
      <c r="A468" s="262" t="s">
        <v>1434</v>
      </c>
      <c r="B468" s="264" t="s">
        <v>662</v>
      </c>
    </row>
    <row r="469" spans="1:2" ht="18" customHeight="1">
      <c r="A469" s="262" t="s">
        <v>1435</v>
      </c>
      <c r="B469" s="264" t="s">
        <v>663</v>
      </c>
    </row>
    <row r="470" spans="1:2" ht="18" customHeight="1">
      <c r="A470" s="262" t="s">
        <v>1436</v>
      </c>
      <c r="B470" s="264" t="s">
        <v>664</v>
      </c>
    </row>
    <row r="471" spans="1:2" ht="18" customHeight="1">
      <c r="A471" s="262" t="s">
        <v>1437</v>
      </c>
      <c r="B471" s="264" t="s">
        <v>665</v>
      </c>
    </row>
    <row r="472" spans="1:2" ht="18" customHeight="1">
      <c r="A472" s="260"/>
      <c r="B472" s="261" t="s">
        <v>1438</v>
      </c>
    </row>
    <row r="473" spans="1:2" ht="18" customHeight="1">
      <c r="A473" s="262" t="s">
        <v>1439</v>
      </c>
      <c r="B473" s="263" t="s">
        <v>613</v>
      </c>
    </row>
    <row r="474" spans="1:2" ht="18" customHeight="1">
      <c r="A474" s="262" t="s">
        <v>1440</v>
      </c>
      <c r="B474" s="272" t="s">
        <v>614</v>
      </c>
    </row>
    <row r="475" spans="1:2" ht="18" customHeight="1">
      <c r="A475" s="262" t="s">
        <v>1441</v>
      </c>
      <c r="B475" s="263" t="s">
        <v>396</v>
      </c>
    </row>
    <row r="476" spans="1:2" ht="18" customHeight="1">
      <c r="A476" s="262" t="s">
        <v>1442</v>
      </c>
      <c r="B476" s="263" t="s">
        <v>397</v>
      </c>
    </row>
    <row r="477" spans="1:2" ht="18" customHeight="1">
      <c r="A477" s="262" t="s">
        <v>1443</v>
      </c>
      <c r="B477" s="272" t="s">
        <v>1444</v>
      </c>
    </row>
    <row r="478" spans="1:2" ht="18" customHeight="1">
      <c r="A478" s="271" t="s">
        <v>1445</v>
      </c>
      <c r="B478" s="273" t="s">
        <v>710</v>
      </c>
    </row>
    <row r="479" spans="1:2" ht="18" customHeight="1">
      <c r="A479" s="262" t="s">
        <v>1446</v>
      </c>
      <c r="B479" s="263" t="s">
        <v>1447</v>
      </c>
    </row>
    <row r="480" spans="1:2" ht="18" customHeight="1">
      <c r="A480" s="262" t="s">
        <v>1448</v>
      </c>
      <c r="B480" s="263" t="s">
        <v>1449</v>
      </c>
    </row>
    <row r="481" spans="1:2" ht="18" customHeight="1">
      <c r="A481" s="262" t="s">
        <v>1450</v>
      </c>
      <c r="B481" s="263" t="s">
        <v>1451</v>
      </c>
    </row>
    <row r="482" spans="1:2" ht="18" customHeight="1">
      <c r="A482" s="262" t="s">
        <v>1452</v>
      </c>
      <c r="B482" s="263" t="s">
        <v>1453</v>
      </c>
    </row>
    <row r="483" spans="1:2" ht="18" customHeight="1">
      <c r="A483" s="271" t="s">
        <v>1454</v>
      </c>
      <c r="B483" s="273" t="s">
        <v>1455</v>
      </c>
    </row>
    <row r="484" spans="1:2" ht="18" customHeight="1">
      <c r="A484" s="262" t="s">
        <v>1456</v>
      </c>
      <c r="B484" s="272" t="s">
        <v>1457</v>
      </c>
    </row>
    <row r="485" spans="1:2" ht="18" customHeight="1">
      <c r="A485" s="260"/>
      <c r="B485" s="261" t="s">
        <v>1458</v>
      </c>
    </row>
    <row r="486" spans="1:2" ht="18" customHeight="1">
      <c r="A486" s="262" t="s">
        <v>1459</v>
      </c>
      <c r="B486" s="263" t="s">
        <v>698</v>
      </c>
    </row>
    <row r="487" spans="1:2" ht="18" customHeight="1">
      <c r="A487" s="262" t="s">
        <v>1460</v>
      </c>
      <c r="B487" s="263" t="s">
        <v>699</v>
      </c>
    </row>
    <row r="488" spans="1:2" ht="18" customHeight="1">
      <c r="A488" s="262" t="s">
        <v>1461</v>
      </c>
      <c r="B488" s="263" t="s">
        <v>700</v>
      </c>
    </row>
    <row r="489" spans="1:2" ht="18" customHeight="1">
      <c r="A489" s="262" t="s">
        <v>1462</v>
      </c>
      <c r="B489" s="263" t="s">
        <v>701</v>
      </c>
    </row>
    <row r="490" spans="1:2" ht="18" customHeight="1">
      <c r="A490" s="260"/>
      <c r="B490" s="261" t="s">
        <v>1463</v>
      </c>
    </row>
    <row r="491" spans="1:2" ht="18" customHeight="1">
      <c r="A491" s="262" t="s">
        <v>1464</v>
      </c>
      <c r="B491" s="263" t="s">
        <v>609</v>
      </c>
    </row>
    <row r="492" spans="1:2" ht="18" customHeight="1">
      <c r="A492" s="262" t="s">
        <v>1465</v>
      </c>
      <c r="B492" s="263" t="s">
        <v>702</v>
      </c>
    </row>
    <row r="493" spans="1:2" ht="18" customHeight="1">
      <c r="A493" s="262" t="s">
        <v>1466</v>
      </c>
      <c r="B493" s="266" t="s">
        <v>703</v>
      </c>
    </row>
    <row r="494" spans="1:2" ht="18" customHeight="1">
      <c r="A494" s="260"/>
      <c r="B494" s="261" t="s">
        <v>1467</v>
      </c>
    </row>
    <row r="495" spans="1:2" ht="18" customHeight="1">
      <c r="A495" s="262" t="s">
        <v>1468</v>
      </c>
      <c r="B495" s="263" t="s">
        <v>695</v>
      </c>
    </row>
    <row r="496" spans="1:2" ht="18" customHeight="1">
      <c r="A496" s="262" t="s">
        <v>1469</v>
      </c>
      <c r="B496" s="263" t="s">
        <v>1470</v>
      </c>
    </row>
    <row r="497" spans="1:2" ht="18" customHeight="1">
      <c r="A497" s="262" t="s">
        <v>1471</v>
      </c>
      <c r="B497" s="263" t="s">
        <v>696</v>
      </c>
    </row>
    <row r="498" spans="1:2" ht="18" customHeight="1">
      <c r="A498" s="262" t="s">
        <v>1472</v>
      </c>
      <c r="B498" s="263" t="s">
        <v>697</v>
      </c>
    </row>
    <row r="499" spans="1:2" ht="18" customHeight="1">
      <c r="A499" s="262"/>
      <c r="B499" s="261" t="s">
        <v>1473</v>
      </c>
    </row>
    <row r="500" spans="1:2" ht="18" customHeight="1">
      <c r="A500" s="262" t="s">
        <v>1474</v>
      </c>
      <c r="B500" s="263" t="s">
        <v>704</v>
      </c>
    </row>
    <row r="501" spans="1:2" ht="18" customHeight="1">
      <c r="A501" s="262" t="s">
        <v>1475</v>
      </c>
      <c r="B501" s="263" t="s">
        <v>705</v>
      </c>
    </row>
    <row r="502" spans="1:2" ht="18" customHeight="1">
      <c r="A502" s="262" t="s">
        <v>1476</v>
      </c>
      <c r="B502" s="263" t="s">
        <v>1477</v>
      </c>
    </row>
    <row r="503" spans="1:2" ht="18" customHeight="1">
      <c r="A503" s="262" t="s">
        <v>1478</v>
      </c>
      <c r="B503" s="263" t="s">
        <v>706</v>
      </c>
    </row>
    <row r="504" spans="1:2" ht="18" customHeight="1">
      <c r="A504" s="262" t="s">
        <v>1479</v>
      </c>
      <c r="B504" s="263" t="s">
        <v>707</v>
      </c>
    </row>
    <row r="505" spans="1:2" ht="18" customHeight="1">
      <c r="A505" s="262" t="s">
        <v>1480</v>
      </c>
      <c r="B505" s="263" t="s">
        <v>708</v>
      </c>
    </row>
    <row r="506" spans="1:2" ht="18" customHeight="1">
      <c r="A506" s="260"/>
      <c r="B506" s="261" t="s">
        <v>1481</v>
      </c>
    </row>
    <row r="507" spans="1:2" ht="18" customHeight="1">
      <c r="A507" s="262" t="s">
        <v>1482</v>
      </c>
      <c r="B507" s="263" t="s">
        <v>1483</v>
      </c>
    </row>
    <row r="508" spans="1:2" ht="18" customHeight="1">
      <c r="A508" s="262" t="s">
        <v>1484</v>
      </c>
      <c r="B508" s="263" t="s">
        <v>1485</v>
      </c>
    </row>
    <row r="509" spans="1:2" ht="18" customHeight="1">
      <c r="A509" s="262" t="s">
        <v>1486</v>
      </c>
      <c r="B509" s="263" t="s">
        <v>1487</v>
      </c>
    </row>
    <row r="510" spans="1:2" ht="18" customHeight="1">
      <c r="A510" s="262" t="s">
        <v>1488</v>
      </c>
      <c r="B510" s="263" t="s">
        <v>1489</v>
      </c>
    </row>
    <row r="511" spans="1:2" ht="18" customHeight="1">
      <c r="A511" s="262" t="s">
        <v>1490</v>
      </c>
      <c r="B511" s="263" t="s">
        <v>1491</v>
      </c>
    </row>
    <row r="512" spans="1:2" ht="18" customHeight="1">
      <c r="A512" s="262" t="s">
        <v>1492</v>
      </c>
      <c r="B512" s="263" t="s">
        <v>395</v>
      </c>
    </row>
    <row r="513" spans="1:2" ht="18" customHeight="1">
      <c r="A513" s="262" t="s">
        <v>1493</v>
      </c>
      <c r="B513" s="263" t="s">
        <v>709</v>
      </c>
    </row>
    <row r="514" spans="1:2" ht="18" customHeight="1">
      <c r="A514" s="262" t="s">
        <v>1494</v>
      </c>
      <c r="B514" s="263" t="s">
        <v>1495</v>
      </c>
    </row>
    <row r="515" spans="1:2" ht="18" customHeight="1">
      <c r="A515" s="395" t="s">
        <v>1507</v>
      </c>
      <c r="B515" s="395"/>
    </row>
    <row r="516" spans="1:2" ht="18" customHeight="1">
      <c r="A516" s="280" t="s">
        <v>1508</v>
      </c>
      <c r="B516" s="281"/>
    </row>
    <row r="518" spans="1:2">
      <c r="B518" s="274" t="s">
        <v>1522</v>
      </c>
    </row>
  </sheetData>
  <mergeCells count="4">
    <mergeCell ref="A1:B1"/>
    <mergeCell ref="A2:B2"/>
    <mergeCell ref="A3:B3"/>
    <mergeCell ref="A515:B515"/>
  </mergeCells>
  <pageMargins left="0.70866141732283472" right="0.70866141732283472" top="0.74803149606299213" bottom="0.74803149606299213" header="0.31496062992125984" footer="0.31496062992125984"/>
  <pageSetup paperSize="9" scale="85" orientation="portrait" r:id="rId1"/>
</worksheet>
</file>

<file path=xl/worksheets/sheet13.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B1:G151"/>
  <sheetViews>
    <sheetView topLeftCell="A123" workbookViewId="0">
      <selection activeCell="C138" sqref="C138"/>
    </sheetView>
  </sheetViews>
  <sheetFormatPr defaultRowHeight="14.4"/>
  <cols>
    <col min="2" max="2" width="7.44140625" customWidth="1"/>
    <col min="3" max="3" width="42.44140625" customWidth="1"/>
    <col min="4" max="4" width="23" customWidth="1"/>
    <col min="5" max="5" width="20.109375" customWidth="1"/>
    <col min="6" max="6" width="12.44140625" customWidth="1"/>
    <col min="7" max="7" width="11.5546875" customWidth="1"/>
  </cols>
  <sheetData>
    <row r="1" spans="2:7" s="91" customFormat="1" ht="26.55" customHeight="1">
      <c r="B1" s="323" t="s">
        <v>889</v>
      </c>
      <c r="C1" s="323"/>
      <c r="D1" s="323"/>
      <c r="E1" s="323"/>
      <c r="F1" s="39"/>
      <c r="G1" s="39"/>
    </row>
    <row r="2" spans="2:7" ht="23.25" customHeight="1">
      <c r="B2" s="10" t="s">
        <v>2</v>
      </c>
      <c r="C2" s="220" t="s">
        <v>0</v>
      </c>
      <c r="D2" s="220" t="s">
        <v>3</v>
      </c>
      <c r="E2" s="10" t="s">
        <v>1</v>
      </c>
    </row>
    <row r="3" spans="2:7" ht="7.5" customHeight="1">
      <c r="B3" s="1">
        <v>1</v>
      </c>
      <c r="C3" s="3">
        <v>2</v>
      </c>
      <c r="D3" s="1">
        <v>3</v>
      </c>
      <c r="E3" s="1">
        <v>4</v>
      </c>
    </row>
    <row r="4" spans="2:7" ht="21.9" customHeight="1">
      <c r="B4" s="90">
        <v>1</v>
      </c>
      <c r="C4" s="298" t="s">
        <v>4</v>
      </c>
      <c r="D4" s="90" t="s">
        <v>5</v>
      </c>
      <c r="E4" s="299">
        <f>SUM(E5:E6)</f>
        <v>1742042.46</v>
      </c>
    </row>
    <row r="5" spans="2:7" ht="27">
      <c r="B5" s="241" t="s">
        <v>6</v>
      </c>
      <c r="C5" s="242" t="s">
        <v>7</v>
      </c>
      <c r="D5" s="243">
        <v>7046000</v>
      </c>
      <c r="E5" s="243">
        <f>D5*22%+91883.91</f>
        <v>1642003.91</v>
      </c>
    </row>
    <row r="6" spans="2:7">
      <c r="B6" s="241" t="s">
        <v>9</v>
      </c>
      <c r="C6" s="244" t="s">
        <v>8</v>
      </c>
      <c r="D6" s="243">
        <v>1000385.5</v>
      </c>
      <c r="E6" s="243">
        <f>D6*10%</f>
        <v>100038.55</v>
      </c>
    </row>
    <row r="7" spans="2:7" ht="40.200000000000003">
      <c r="B7" s="241" t="s">
        <v>10</v>
      </c>
      <c r="C7" s="244" t="s">
        <v>11</v>
      </c>
      <c r="D7" s="243"/>
      <c r="E7" s="243"/>
    </row>
    <row r="8" spans="2:7" ht="27">
      <c r="B8" s="245" t="s">
        <v>12</v>
      </c>
      <c r="C8" s="246" t="s">
        <v>13</v>
      </c>
      <c r="D8" s="240" t="s">
        <v>5</v>
      </c>
      <c r="E8" s="240">
        <f>SUM(E9:E13)</f>
        <v>253461.14324999999</v>
      </c>
    </row>
    <row r="9" spans="2:7" ht="53.4">
      <c r="B9" s="241" t="s">
        <v>14</v>
      </c>
      <c r="C9" s="244" t="s">
        <v>15</v>
      </c>
      <c r="D9" s="243">
        <v>8046385.5</v>
      </c>
      <c r="E9" s="243">
        <f>D9*2.9%</f>
        <v>233345.1795</v>
      </c>
    </row>
    <row r="10" spans="2:7" ht="27.75" customHeight="1">
      <c r="B10" s="241" t="s">
        <v>16</v>
      </c>
      <c r="C10" s="244" t="s">
        <v>17</v>
      </c>
      <c r="D10" s="243"/>
      <c r="E10" s="243"/>
    </row>
    <row r="11" spans="2:7" ht="40.200000000000003">
      <c r="B11" s="241" t="s">
        <v>18</v>
      </c>
      <c r="C11" s="244" t="s">
        <v>78</v>
      </c>
      <c r="D11" s="243">
        <v>8046385.5</v>
      </c>
      <c r="E11" s="243">
        <f>D11*0.25%</f>
        <v>20115.963749999999</v>
      </c>
    </row>
    <row r="12" spans="2:7" ht="40.200000000000003">
      <c r="B12" s="241" t="s">
        <v>19</v>
      </c>
      <c r="C12" s="244" t="s">
        <v>20</v>
      </c>
      <c r="D12" s="243"/>
      <c r="E12" s="243"/>
    </row>
    <row r="13" spans="2:7" ht="40.200000000000003">
      <c r="B13" s="241" t="s">
        <v>23</v>
      </c>
      <c r="C13" s="244" t="s">
        <v>20</v>
      </c>
      <c r="D13" s="243"/>
      <c r="E13" s="243"/>
    </row>
    <row r="14" spans="2:7" s="50" customFormat="1" ht="40.5" customHeight="1">
      <c r="B14" s="247" t="s">
        <v>24</v>
      </c>
      <c r="C14" s="248" t="s">
        <v>100</v>
      </c>
      <c r="D14" s="249">
        <v>8046385.5</v>
      </c>
      <c r="E14" s="249">
        <f>D14*5.1%</f>
        <v>410365.6605</v>
      </c>
    </row>
    <row r="15" spans="2:7" ht="15" customHeight="1">
      <c r="B15" s="245"/>
      <c r="C15" s="246" t="s">
        <v>26</v>
      </c>
      <c r="D15" s="240" t="s">
        <v>5</v>
      </c>
      <c r="E15" s="278">
        <f>E14+E8+E4</f>
        <v>2405869.2637499999</v>
      </c>
    </row>
    <row r="17" spans="2:6" ht="33.450000000000003" customHeight="1">
      <c r="B17" t="s">
        <v>21</v>
      </c>
      <c r="C17" s="324" t="s">
        <v>22</v>
      </c>
      <c r="D17" s="324"/>
      <c r="E17" s="324"/>
    </row>
    <row r="19" spans="2:6" ht="15.6">
      <c r="B19" s="13"/>
      <c r="C19" s="320" t="s">
        <v>27</v>
      </c>
      <c r="D19" s="320"/>
      <c r="E19" s="320"/>
      <c r="F19" s="320"/>
    </row>
    <row r="20" spans="2:6" ht="15.6">
      <c r="B20" s="13"/>
      <c r="C20" s="13"/>
      <c r="D20" s="13"/>
      <c r="E20" s="26"/>
      <c r="F20" s="13"/>
    </row>
    <row r="21" spans="2:6" ht="15.6">
      <c r="B21" s="21" t="s">
        <v>28</v>
      </c>
      <c r="C21" s="21"/>
      <c r="D21" s="21" t="s">
        <v>892</v>
      </c>
      <c r="E21" s="26"/>
      <c r="F21" s="13"/>
    </row>
    <row r="22" spans="2:6" ht="34.65" customHeight="1">
      <c r="B22" s="21" t="s">
        <v>29</v>
      </c>
      <c r="C22" s="21"/>
      <c r="D22" s="325" t="s">
        <v>893</v>
      </c>
      <c r="E22" s="325"/>
      <c r="F22" s="325"/>
    </row>
    <row r="23" spans="2:6" ht="15.6">
      <c r="B23" s="13"/>
      <c r="C23" s="13"/>
      <c r="D23" s="13"/>
      <c r="E23" s="26"/>
      <c r="F23" s="13"/>
    </row>
    <row r="24" spans="2:6" ht="62.4">
      <c r="B24" s="14" t="s">
        <v>2</v>
      </c>
      <c r="C24" s="14" t="s">
        <v>30</v>
      </c>
      <c r="D24" s="14" t="s">
        <v>83</v>
      </c>
      <c r="E24" s="27"/>
      <c r="F24" s="14" t="s">
        <v>32</v>
      </c>
    </row>
    <row r="25" spans="2:6">
      <c r="B25" s="225">
        <v>1</v>
      </c>
      <c r="C25" s="225">
        <v>2</v>
      </c>
      <c r="D25" s="225">
        <v>3</v>
      </c>
      <c r="E25" s="253">
        <v>4</v>
      </c>
      <c r="F25" s="225">
        <v>5</v>
      </c>
    </row>
    <row r="26" spans="2:6" ht="46.8">
      <c r="B26" s="24" t="s">
        <v>894</v>
      </c>
      <c r="C26" s="6" t="s">
        <v>895</v>
      </c>
      <c r="D26" s="22" t="s">
        <v>5</v>
      </c>
      <c r="E26" s="29" t="s">
        <v>5</v>
      </c>
      <c r="F26" s="9">
        <v>100000</v>
      </c>
    </row>
    <row r="27" spans="2:6" ht="78">
      <c r="B27" s="24" t="s">
        <v>896</v>
      </c>
      <c r="C27" s="6" t="s">
        <v>897</v>
      </c>
      <c r="D27" s="22" t="s">
        <v>5</v>
      </c>
      <c r="E27" s="29" t="s">
        <v>5</v>
      </c>
      <c r="F27" s="9">
        <v>400000</v>
      </c>
    </row>
    <row r="28" spans="2:6" ht="15.6">
      <c r="B28" s="38"/>
      <c r="C28" s="35" t="s">
        <v>25</v>
      </c>
      <c r="D28" s="34"/>
      <c r="E28" s="33"/>
      <c r="F28" s="34">
        <f>F26+F27</f>
        <v>500000</v>
      </c>
    </row>
    <row r="42" spans="2:7" ht="15.6">
      <c r="B42" s="320" t="s">
        <v>85</v>
      </c>
      <c r="C42" s="320"/>
      <c r="D42" s="320"/>
      <c r="E42" s="320"/>
      <c r="F42" s="320"/>
      <c r="G42" s="13"/>
    </row>
    <row r="43" spans="2:7" ht="15.6">
      <c r="B43" s="13"/>
      <c r="C43" s="222"/>
      <c r="D43" s="222"/>
      <c r="E43" s="222"/>
      <c r="F43" s="222"/>
      <c r="G43" s="13"/>
    </row>
    <row r="44" spans="2:7" ht="15.6">
      <c r="B44" s="13"/>
      <c r="C44" s="158" t="s">
        <v>876</v>
      </c>
      <c r="D44" s="222"/>
      <c r="E44" s="226">
        <v>244</v>
      </c>
      <c r="F44" s="222"/>
      <c r="G44" s="13"/>
    </row>
    <row r="45" spans="2:7" ht="15.75" customHeight="1">
      <c r="B45" s="226"/>
      <c r="C45" s="158" t="s">
        <v>29</v>
      </c>
      <c r="D45" s="226"/>
      <c r="E45" s="322" t="s">
        <v>893</v>
      </c>
      <c r="F45" s="322"/>
      <c r="G45" s="322"/>
    </row>
    <row r="46" spans="2:7" ht="22.5" customHeight="1">
      <c r="B46" s="13"/>
      <c r="C46" s="158"/>
      <c r="D46" s="13"/>
      <c r="E46" s="322"/>
      <c r="F46" s="322"/>
      <c r="G46" s="322"/>
    </row>
    <row r="47" spans="2:7" ht="15.6" hidden="1">
      <c r="B47" s="13"/>
      <c r="C47" s="158" t="s">
        <v>86</v>
      </c>
      <c r="D47" s="13"/>
      <c r="E47" s="13"/>
      <c r="F47" s="13"/>
      <c r="G47" s="13"/>
    </row>
    <row r="48" spans="2:7" ht="15.6" hidden="1">
      <c r="B48" s="13"/>
      <c r="C48" s="158"/>
      <c r="D48" s="13"/>
      <c r="E48" s="13"/>
      <c r="F48" s="13"/>
      <c r="G48" s="13"/>
    </row>
    <row r="49" spans="2:7" ht="21.6" hidden="1">
      <c r="B49" s="223" t="s">
        <v>2</v>
      </c>
      <c r="C49" s="223" t="s">
        <v>30</v>
      </c>
      <c r="D49" s="223" t="s">
        <v>87</v>
      </c>
      <c r="E49" s="223" t="s">
        <v>88</v>
      </c>
      <c r="F49" s="223" t="s">
        <v>89</v>
      </c>
      <c r="G49" s="43" t="s">
        <v>90</v>
      </c>
    </row>
    <row r="50" spans="2:7" hidden="1">
      <c r="B50" s="42">
        <v>1</v>
      </c>
      <c r="C50" s="42">
        <v>2</v>
      </c>
      <c r="D50" s="42">
        <v>3</v>
      </c>
      <c r="E50" s="42">
        <v>4</v>
      </c>
      <c r="F50" s="42">
        <v>5</v>
      </c>
      <c r="G50" s="42">
        <v>6</v>
      </c>
    </row>
    <row r="51" spans="2:7" ht="15.6" hidden="1">
      <c r="B51" s="61" t="s">
        <v>129</v>
      </c>
      <c r="C51" s="61" t="s">
        <v>122</v>
      </c>
      <c r="D51" s="8" t="s">
        <v>129</v>
      </c>
      <c r="E51" s="8" t="s">
        <v>193</v>
      </c>
      <c r="F51" s="9">
        <v>843.7</v>
      </c>
      <c r="G51" s="9">
        <f>F51*E51*D51</f>
        <v>9280.7000000000007</v>
      </c>
    </row>
    <row r="52" spans="2:7" ht="15.6" hidden="1">
      <c r="B52" s="61" t="s">
        <v>12</v>
      </c>
      <c r="C52" s="254" t="s">
        <v>124</v>
      </c>
      <c r="D52" s="8" t="s">
        <v>127</v>
      </c>
      <c r="E52" s="8" t="s">
        <v>877</v>
      </c>
      <c r="F52" s="9">
        <v>5.25</v>
      </c>
      <c r="G52" s="9">
        <f>E52*F52</f>
        <v>0</v>
      </c>
    </row>
    <row r="53" spans="2:7" ht="15.6" hidden="1">
      <c r="B53" s="61" t="s">
        <v>24</v>
      </c>
      <c r="C53" s="61" t="s">
        <v>125</v>
      </c>
      <c r="D53" s="8" t="s">
        <v>877</v>
      </c>
      <c r="E53" s="8" t="s">
        <v>123</v>
      </c>
      <c r="F53" s="9">
        <v>6755</v>
      </c>
      <c r="G53" s="9">
        <f>F53*E53*D53</f>
        <v>0</v>
      </c>
    </row>
    <row r="54" spans="2:7" ht="31.2" hidden="1">
      <c r="B54" s="61" t="s">
        <v>80</v>
      </c>
      <c r="C54" s="63" t="s">
        <v>128</v>
      </c>
      <c r="D54" s="8" t="s">
        <v>877</v>
      </c>
      <c r="E54" s="8" t="s">
        <v>123</v>
      </c>
      <c r="F54" s="9">
        <v>700</v>
      </c>
      <c r="G54" s="9">
        <f>F54*E54*D54</f>
        <v>0</v>
      </c>
    </row>
    <row r="55" spans="2:7" ht="15.6" hidden="1">
      <c r="B55" s="61" t="s">
        <v>81</v>
      </c>
      <c r="C55" s="61" t="s">
        <v>130</v>
      </c>
      <c r="D55" s="8" t="s">
        <v>877</v>
      </c>
      <c r="E55" s="8" t="s">
        <v>878</v>
      </c>
      <c r="F55" s="9">
        <v>2249.08</v>
      </c>
      <c r="G55" s="9">
        <f>F55*E55*D55</f>
        <v>0</v>
      </c>
    </row>
    <row r="56" spans="2:7" ht="15.6" hidden="1">
      <c r="B56" s="61" t="s">
        <v>126</v>
      </c>
      <c r="C56" s="61" t="s">
        <v>879</v>
      </c>
      <c r="D56" s="8" t="s">
        <v>129</v>
      </c>
      <c r="E56" s="8" t="s">
        <v>1502</v>
      </c>
      <c r="F56" s="9">
        <v>22</v>
      </c>
      <c r="G56" s="9">
        <f>F56*E56*D56</f>
        <v>770</v>
      </c>
    </row>
    <row r="57" spans="2:7" ht="15.6" hidden="1">
      <c r="B57" s="61"/>
      <c r="C57" s="61"/>
      <c r="D57" s="8"/>
      <c r="E57" s="8"/>
      <c r="F57" s="9"/>
      <c r="G57" s="9"/>
    </row>
    <row r="58" spans="2:7" ht="15.6" hidden="1">
      <c r="B58" s="61"/>
      <c r="C58" s="61"/>
      <c r="D58" s="8"/>
      <c r="E58" s="8"/>
      <c r="F58" s="9"/>
      <c r="G58" s="9"/>
    </row>
    <row r="59" spans="2:7" ht="15.6" hidden="1">
      <c r="B59" s="60"/>
      <c r="C59" s="60"/>
      <c r="D59" s="8"/>
      <c r="E59" s="8"/>
      <c r="F59" s="9"/>
      <c r="G59" s="9"/>
    </row>
    <row r="60" spans="2:7" ht="15.6" hidden="1">
      <c r="B60" s="60"/>
      <c r="C60" s="60"/>
      <c r="D60" s="8"/>
      <c r="E60" s="8"/>
      <c r="F60" s="9"/>
      <c r="G60" s="9"/>
    </row>
    <row r="61" spans="2:7" ht="15.6" hidden="1">
      <c r="B61" s="60"/>
      <c r="C61" s="60"/>
      <c r="D61" s="8"/>
      <c r="E61" s="8"/>
      <c r="F61" s="9"/>
      <c r="G61" s="9"/>
    </row>
    <row r="62" spans="2:7" ht="15.6" hidden="1">
      <c r="B62" s="35"/>
      <c r="C62" s="35" t="s">
        <v>26</v>
      </c>
      <c r="D62" s="32" t="s">
        <v>5</v>
      </c>
      <c r="E62" s="32" t="s">
        <v>5</v>
      </c>
      <c r="F62" s="32" t="s">
        <v>5</v>
      </c>
      <c r="G62" s="62">
        <f>SUM(G51:G61)</f>
        <v>10050.700000000001</v>
      </c>
    </row>
    <row r="63" spans="2:7" hidden="1"/>
    <row r="64" spans="2:7" hidden="1"/>
    <row r="65" spans="2:7" hidden="1"/>
    <row r="66" spans="2:7" hidden="1"/>
    <row r="67" spans="2:7" hidden="1"/>
    <row r="68" spans="2:7" hidden="1"/>
    <row r="69" spans="2:7" hidden="1"/>
    <row r="70" spans="2:7" hidden="1"/>
    <row r="72" spans="2:7" ht="15.6">
      <c r="B72" s="13"/>
      <c r="C72" s="320" t="s">
        <v>91</v>
      </c>
      <c r="D72" s="320"/>
      <c r="E72" s="320"/>
      <c r="F72" s="320"/>
      <c r="G72" s="320"/>
    </row>
    <row r="73" spans="2:7" ht="15.6">
      <c r="B73" s="13"/>
      <c r="C73" s="158"/>
      <c r="D73" s="13"/>
      <c r="E73" s="13"/>
      <c r="F73" s="64"/>
      <c r="G73" s="13"/>
    </row>
    <row r="74" spans="2:7" ht="21.6">
      <c r="B74" s="223" t="s">
        <v>2</v>
      </c>
      <c r="C74" s="223" t="s">
        <v>92</v>
      </c>
      <c r="D74" s="223" t="s">
        <v>93</v>
      </c>
      <c r="E74" s="223" t="s">
        <v>137</v>
      </c>
      <c r="F74" s="65" t="s">
        <v>94</v>
      </c>
      <c r="G74" s="43" t="s">
        <v>90</v>
      </c>
    </row>
    <row r="75" spans="2:7">
      <c r="B75" s="42">
        <v>1</v>
      </c>
      <c r="C75" s="42">
        <v>2</v>
      </c>
      <c r="D75" s="42">
        <v>3</v>
      </c>
      <c r="E75" s="42">
        <v>4</v>
      </c>
      <c r="F75" s="42" t="s">
        <v>81</v>
      </c>
      <c r="G75" s="42">
        <v>6</v>
      </c>
    </row>
    <row r="76" spans="2:7" ht="15.6">
      <c r="B76" s="40" t="s">
        <v>129</v>
      </c>
      <c r="C76" s="67" t="s">
        <v>132</v>
      </c>
      <c r="D76" s="40" t="s">
        <v>1546</v>
      </c>
      <c r="E76" s="34">
        <v>6670</v>
      </c>
      <c r="F76" s="68">
        <v>6.5000000000000002E-2</v>
      </c>
      <c r="G76" s="34">
        <f>(D76*E76)+((D76*E76)*6.5%)</f>
        <v>1683541.35</v>
      </c>
    </row>
    <row r="77" spans="2:7" ht="15.6">
      <c r="B77" s="8"/>
      <c r="C77" s="61"/>
      <c r="D77" s="8"/>
      <c r="E77" s="9"/>
      <c r="F77" s="66"/>
      <c r="G77" s="9"/>
    </row>
    <row r="78" spans="2:7" ht="15.6">
      <c r="B78" s="40" t="s">
        <v>12</v>
      </c>
      <c r="C78" s="67" t="s">
        <v>135</v>
      </c>
      <c r="D78" s="34">
        <f>D79</f>
        <v>405</v>
      </c>
      <c r="E78" s="34">
        <f>E79</f>
        <v>5010.59</v>
      </c>
      <c r="F78" s="34"/>
      <c r="G78" s="34">
        <f>G79</f>
        <v>2161192.7317499998</v>
      </c>
    </row>
    <row r="79" spans="2:7" ht="15.6">
      <c r="B79" s="8" t="s">
        <v>16</v>
      </c>
      <c r="C79" s="61" t="s">
        <v>138</v>
      </c>
      <c r="D79" s="9">
        <v>405</v>
      </c>
      <c r="E79" s="9">
        <v>5010.59</v>
      </c>
      <c r="F79" s="66">
        <v>6.5000000000000002E-2</v>
      </c>
      <c r="G79" s="9">
        <f>(D79*E79)+((D79*E79)*6.5%)</f>
        <v>2161192.7317499998</v>
      </c>
    </row>
    <row r="80" spans="2:7" ht="15.6">
      <c r="B80" s="8"/>
      <c r="C80" s="61"/>
      <c r="D80" s="8"/>
      <c r="E80" s="9"/>
      <c r="F80" s="66"/>
      <c r="G80" s="9"/>
    </row>
    <row r="81" spans="2:7" ht="15.6">
      <c r="B81" s="40" t="s">
        <v>24</v>
      </c>
      <c r="C81" s="67" t="s">
        <v>134</v>
      </c>
      <c r="D81" s="34">
        <f>D82</f>
        <v>32</v>
      </c>
      <c r="E81" s="34">
        <f>E82</f>
        <v>30.06</v>
      </c>
      <c r="F81" s="34"/>
      <c r="G81" s="34">
        <f>G82</f>
        <v>1024.4448</v>
      </c>
    </row>
    <row r="82" spans="2:7" ht="15.6">
      <c r="B82" s="8" t="s">
        <v>75</v>
      </c>
      <c r="C82" s="61" t="s">
        <v>138</v>
      </c>
      <c r="D82" s="9">
        <v>32</v>
      </c>
      <c r="E82" s="9">
        <v>30.06</v>
      </c>
      <c r="F82" s="66">
        <v>6.5000000000000002E-2</v>
      </c>
      <c r="G82" s="9">
        <f>(D82*E82)+((D82*E82)*6.5%)</f>
        <v>1024.4448</v>
      </c>
    </row>
    <row r="83" spans="2:7" ht="15.6">
      <c r="B83" s="8"/>
      <c r="C83" s="61"/>
      <c r="D83" s="9"/>
      <c r="E83" s="9"/>
      <c r="F83" s="66"/>
      <c r="G83" s="9"/>
    </row>
    <row r="84" spans="2:7" ht="15.6">
      <c r="B84" s="40" t="s">
        <v>80</v>
      </c>
      <c r="C84" s="67" t="s">
        <v>133</v>
      </c>
      <c r="D84" s="34">
        <f>D85</f>
        <v>32.5</v>
      </c>
      <c r="E84" s="34">
        <f>E85</f>
        <v>27.93</v>
      </c>
      <c r="F84" s="34"/>
      <c r="G84" s="34">
        <f>G85</f>
        <v>966.727125</v>
      </c>
    </row>
    <row r="85" spans="2:7" ht="15.6">
      <c r="B85" s="8" t="s">
        <v>75</v>
      </c>
      <c r="C85" s="61" t="s">
        <v>138</v>
      </c>
      <c r="D85" s="9">
        <v>32.5</v>
      </c>
      <c r="E85" s="9">
        <v>27.93</v>
      </c>
      <c r="F85" s="66">
        <v>6.5000000000000002E-2</v>
      </c>
      <c r="G85" s="9">
        <f>(D85*E85)+((D85*E85)*6.5%)</f>
        <v>966.727125</v>
      </c>
    </row>
    <row r="86" spans="2:7" ht="15.6">
      <c r="B86" s="8"/>
      <c r="C86" s="61"/>
      <c r="D86" s="8"/>
      <c r="E86" s="9"/>
      <c r="F86" s="66"/>
      <c r="G86" s="9"/>
    </row>
    <row r="87" spans="2:7" ht="15.6">
      <c r="B87" s="32"/>
      <c r="C87" s="31" t="s">
        <v>26</v>
      </c>
      <c r="D87" s="32" t="s">
        <v>5</v>
      </c>
      <c r="E87" s="32" t="s">
        <v>5</v>
      </c>
      <c r="F87" s="68" t="s">
        <v>5</v>
      </c>
      <c r="G87" s="34">
        <f>G76+G78+G81+G84</f>
        <v>3846725.2536750003</v>
      </c>
    </row>
    <row r="91" spans="2:7" ht="15.6" hidden="1">
      <c r="B91" s="13"/>
      <c r="C91" s="320" t="s">
        <v>41</v>
      </c>
      <c r="D91" s="320"/>
      <c r="E91" s="320"/>
      <c r="F91" s="320"/>
    </row>
    <row r="92" spans="2:7" ht="15.6" hidden="1">
      <c r="B92" s="13"/>
      <c r="C92" s="13"/>
      <c r="D92" s="13"/>
      <c r="E92" s="13"/>
      <c r="F92" s="13"/>
    </row>
    <row r="93" spans="2:7" ht="21.6" hidden="1">
      <c r="B93" s="223" t="s">
        <v>2</v>
      </c>
      <c r="C93" s="223" t="s">
        <v>42</v>
      </c>
      <c r="D93" s="223" t="s">
        <v>43</v>
      </c>
      <c r="E93" s="223" t="s">
        <v>58</v>
      </c>
      <c r="F93" s="223" t="s">
        <v>44</v>
      </c>
    </row>
    <row r="94" spans="2:7" ht="15.6" hidden="1">
      <c r="B94" s="5">
        <v>1</v>
      </c>
      <c r="C94" s="5" t="s">
        <v>898</v>
      </c>
      <c r="D94" s="4">
        <v>12</v>
      </c>
      <c r="E94" s="9">
        <v>25000</v>
      </c>
      <c r="F94" s="9">
        <f>E94*D94</f>
        <v>300000</v>
      </c>
    </row>
    <row r="95" spans="2:7" ht="15.6" hidden="1">
      <c r="B95" s="5"/>
      <c r="C95" s="5"/>
      <c r="D95" s="5"/>
      <c r="E95" s="11"/>
      <c r="F95" s="11"/>
    </row>
    <row r="96" spans="2:7" ht="15.6" hidden="1">
      <c r="B96" s="5"/>
      <c r="C96" s="5"/>
      <c r="D96" s="5"/>
      <c r="E96" s="11"/>
      <c r="F96" s="11"/>
    </row>
    <row r="97" spans="2:6" ht="15.6" hidden="1">
      <c r="B97" s="35"/>
      <c r="C97" s="35" t="s">
        <v>25</v>
      </c>
      <c r="D97" s="32" t="s">
        <v>5</v>
      </c>
      <c r="E97" s="32" t="s">
        <v>5</v>
      </c>
      <c r="F97" s="32" t="s">
        <v>5</v>
      </c>
    </row>
    <row r="98" spans="2:6" ht="15.6" hidden="1">
      <c r="B98" s="255"/>
      <c r="C98" s="255"/>
      <c r="D98" s="206"/>
      <c r="E98" s="206"/>
      <c r="F98" s="206"/>
    </row>
    <row r="99" spans="2:6" ht="15.6">
      <c r="B99" s="255"/>
      <c r="C99" s="255"/>
      <c r="D99" s="206"/>
      <c r="E99" s="206"/>
      <c r="F99" s="206"/>
    </row>
    <row r="100" spans="2:6" ht="15.6">
      <c r="B100" s="255"/>
      <c r="C100" s="255"/>
      <c r="D100" s="206"/>
      <c r="E100" s="206"/>
      <c r="F100" s="206"/>
    </row>
    <row r="101" spans="2:6" ht="9.75" customHeight="1">
      <c r="B101" s="255"/>
      <c r="C101" s="255"/>
      <c r="D101" s="206"/>
      <c r="E101" s="206"/>
      <c r="F101" s="206"/>
    </row>
    <row r="102" spans="2:6">
      <c r="B102" s="321" t="s">
        <v>40</v>
      </c>
      <c r="C102" s="321"/>
      <c r="D102" s="321"/>
      <c r="E102" s="321"/>
      <c r="F102" s="321"/>
    </row>
    <row r="103" spans="2:6" ht="8.6999999999999993" customHeight="1">
      <c r="B103" s="224"/>
      <c r="C103" s="12"/>
      <c r="D103" s="12"/>
      <c r="E103" s="12"/>
      <c r="F103" s="12"/>
    </row>
    <row r="104" spans="2:6" s="54" customFormat="1" ht="16.2" customHeight="1">
      <c r="B104" s="306" t="s">
        <v>2</v>
      </c>
      <c r="C104" s="306" t="s">
        <v>34</v>
      </c>
      <c r="D104" s="306" t="s">
        <v>49</v>
      </c>
      <c r="E104" s="305" t="s">
        <v>50</v>
      </c>
      <c r="F104" s="305" t="s">
        <v>51</v>
      </c>
    </row>
    <row r="105" spans="2:6" s="132" customFormat="1" ht="8.1" customHeight="1">
      <c r="B105" s="284">
        <v>1</v>
      </c>
      <c r="C105" s="284">
        <v>2</v>
      </c>
      <c r="D105" s="284">
        <v>3</v>
      </c>
      <c r="E105" s="236">
        <v>4</v>
      </c>
      <c r="F105" s="284">
        <v>5</v>
      </c>
    </row>
    <row r="106" spans="2:6">
      <c r="B106" s="15">
        <v>1</v>
      </c>
      <c r="C106" s="16" t="s">
        <v>37</v>
      </c>
      <c r="D106" s="15" t="s">
        <v>196</v>
      </c>
      <c r="E106" s="15">
        <v>1</v>
      </c>
      <c r="F106" s="19">
        <f>145000-19000</f>
        <v>126000</v>
      </c>
    </row>
    <row r="107" spans="2:6">
      <c r="B107" s="15">
        <v>2</v>
      </c>
      <c r="C107" s="16" t="s">
        <v>79</v>
      </c>
      <c r="D107" s="15" t="s">
        <v>196</v>
      </c>
      <c r="E107" s="15">
        <v>1</v>
      </c>
      <c r="F107" s="19">
        <v>105000</v>
      </c>
    </row>
    <row r="108" spans="2:6">
      <c r="B108" s="15">
        <v>3</v>
      </c>
      <c r="C108" s="16" t="s">
        <v>38</v>
      </c>
      <c r="D108" s="15" t="s">
        <v>196</v>
      </c>
      <c r="E108" s="15">
        <v>2</v>
      </c>
      <c r="F108" s="19">
        <v>20000</v>
      </c>
    </row>
    <row r="109" spans="2:6">
      <c r="B109" s="15">
        <v>4</v>
      </c>
      <c r="C109" s="17" t="s">
        <v>39</v>
      </c>
      <c r="D109" s="15" t="s">
        <v>196</v>
      </c>
      <c r="E109" s="15">
        <v>1</v>
      </c>
      <c r="F109" s="19">
        <v>9100</v>
      </c>
    </row>
    <row r="110" spans="2:6" ht="42">
      <c r="B110" s="15">
        <v>5</v>
      </c>
      <c r="C110" s="18" t="s">
        <v>46</v>
      </c>
      <c r="D110" s="15" t="s">
        <v>196</v>
      </c>
      <c r="E110" s="15">
        <v>1</v>
      </c>
      <c r="F110" s="19">
        <f>350000-170000-15000</f>
        <v>165000</v>
      </c>
    </row>
    <row r="111" spans="2:6">
      <c r="B111" s="81" t="s">
        <v>126</v>
      </c>
      <c r="C111" s="20" t="s">
        <v>186</v>
      </c>
      <c r="D111" s="15" t="s">
        <v>196</v>
      </c>
      <c r="E111" s="73">
        <v>2</v>
      </c>
      <c r="F111" s="74">
        <v>70000</v>
      </c>
    </row>
    <row r="112" spans="2:6">
      <c r="B112" s="78">
        <v>7</v>
      </c>
      <c r="C112" s="82" t="s">
        <v>140</v>
      </c>
      <c r="D112" s="15" t="s">
        <v>196</v>
      </c>
      <c r="E112" s="78"/>
      <c r="F112" s="80">
        <f>SUM(F113:F114)</f>
        <v>125000</v>
      </c>
    </row>
    <row r="113" spans="2:6">
      <c r="B113" s="76" t="s">
        <v>143</v>
      </c>
      <c r="C113" s="279" t="s">
        <v>141</v>
      </c>
      <c r="D113" s="73" t="s">
        <v>127</v>
      </c>
      <c r="E113" s="73">
        <v>1</v>
      </c>
      <c r="F113" s="74">
        <f>155000-60000</f>
        <v>95000</v>
      </c>
    </row>
    <row r="114" spans="2:6">
      <c r="B114" s="76" t="s">
        <v>146</v>
      </c>
      <c r="C114" s="17" t="s">
        <v>899</v>
      </c>
      <c r="D114" s="73" t="s">
        <v>127</v>
      </c>
      <c r="E114" s="73">
        <v>1</v>
      </c>
      <c r="F114" s="74">
        <f>55000-25000</f>
        <v>30000</v>
      </c>
    </row>
    <row r="115" spans="2:6">
      <c r="B115" s="81" t="s">
        <v>183</v>
      </c>
      <c r="C115" s="20" t="s">
        <v>195</v>
      </c>
      <c r="D115" s="15" t="s">
        <v>196</v>
      </c>
      <c r="E115" s="73">
        <v>3</v>
      </c>
      <c r="F115" s="74">
        <f>550000</f>
        <v>550000</v>
      </c>
    </row>
    <row r="116" spans="2:6" ht="28.2">
      <c r="B116" s="81" t="s">
        <v>185</v>
      </c>
      <c r="C116" s="20" t="s">
        <v>192</v>
      </c>
      <c r="D116" s="15" t="s">
        <v>196</v>
      </c>
      <c r="E116" s="73">
        <v>3</v>
      </c>
      <c r="F116" s="74">
        <v>30000</v>
      </c>
    </row>
    <row r="117" spans="2:6">
      <c r="B117" s="71"/>
      <c r="C117" s="70" t="s">
        <v>26</v>
      </c>
      <c r="D117" s="70"/>
      <c r="E117" s="71" t="s">
        <v>5</v>
      </c>
      <c r="F117" s="72">
        <f>F106+F107+F108+F109+F110+F111+F112+F115+F116</f>
        <v>1200100</v>
      </c>
    </row>
    <row r="118" spans="2:6" ht="6.3" customHeight="1">
      <c r="B118" s="309"/>
      <c r="C118" s="310"/>
      <c r="D118" s="310"/>
      <c r="E118" s="309"/>
      <c r="F118" s="311"/>
    </row>
    <row r="119" spans="2:6">
      <c r="B119" s="321" t="s">
        <v>48</v>
      </c>
      <c r="C119" s="321"/>
      <c r="D119" s="321"/>
      <c r="E119" s="321"/>
    </row>
    <row r="120" spans="2:6" ht="8.6999999999999993" customHeight="1">
      <c r="B120" s="12"/>
      <c r="C120" s="12"/>
      <c r="D120" s="12"/>
      <c r="E120" s="12"/>
    </row>
    <row r="121" spans="2:6" s="132" customFormat="1" ht="8.4">
      <c r="B121" s="284" t="s">
        <v>2</v>
      </c>
      <c r="C121" s="284" t="s">
        <v>34</v>
      </c>
      <c r="D121" s="236" t="s">
        <v>35</v>
      </c>
      <c r="E121" s="236" t="s">
        <v>36</v>
      </c>
    </row>
    <row r="122" spans="2:6">
      <c r="B122" s="225">
        <v>1</v>
      </c>
      <c r="C122" s="225">
        <v>2</v>
      </c>
      <c r="D122" s="223">
        <v>3</v>
      </c>
      <c r="E122" s="223">
        <v>4</v>
      </c>
    </row>
    <row r="123" spans="2:6">
      <c r="B123" s="15">
        <v>1</v>
      </c>
      <c r="C123" s="16" t="s">
        <v>52</v>
      </c>
      <c r="D123" s="15">
        <v>1</v>
      </c>
      <c r="E123" s="19">
        <v>55000</v>
      </c>
    </row>
    <row r="124" spans="2:6" ht="27">
      <c r="B124" s="78">
        <v>2</v>
      </c>
      <c r="C124" s="312" t="s">
        <v>171</v>
      </c>
      <c r="D124" s="78"/>
      <c r="E124" s="80">
        <f>SUM(E125:E127)</f>
        <v>749000</v>
      </c>
    </row>
    <row r="125" spans="2:6">
      <c r="B125" s="83" t="s">
        <v>14</v>
      </c>
      <c r="C125" s="17" t="s">
        <v>172</v>
      </c>
      <c r="D125" s="15">
        <v>4</v>
      </c>
      <c r="E125" s="19">
        <v>226000</v>
      </c>
    </row>
    <row r="126" spans="2:6">
      <c r="B126" s="83" t="s">
        <v>16</v>
      </c>
      <c r="C126" s="16" t="s">
        <v>174</v>
      </c>
      <c r="D126" s="15">
        <v>2</v>
      </c>
      <c r="E126" s="19">
        <f>278000</f>
        <v>278000</v>
      </c>
    </row>
    <row r="127" spans="2:6">
      <c r="B127" s="83" t="s">
        <v>18</v>
      </c>
      <c r="C127" s="16" t="s">
        <v>178</v>
      </c>
      <c r="D127" s="15">
        <v>1</v>
      </c>
      <c r="E127" s="19">
        <v>245000</v>
      </c>
    </row>
    <row r="128" spans="2:6">
      <c r="B128" s="77" t="s">
        <v>24</v>
      </c>
      <c r="C128" s="16" t="s">
        <v>187</v>
      </c>
      <c r="D128" s="15">
        <v>2</v>
      </c>
      <c r="E128" s="19">
        <v>35000</v>
      </c>
    </row>
    <row r="129" spans="2:6" ht="40.200000000000003">
      <c r="B129" s="77" t="s">
        <v>80</v>
      </c>
      <c r="C129" s="244" t="s">
        <v>188</v>
      </c>
      <c r="D129" s="15">
        <v>1</v>
      </c>
      <c r="E129" s="19">
        <v>7000</v>
      </c>
    </row>
    <row r="130" spans="2:6">
      <c r="B130" s="77" t="s">
        <v>81</v>
      </c>
      <c r="C130" s="18" t="s">
        <v>881</v>
      </c>
      <c r="D130" s="15">
        <v>1</v>
      </c>
      <c r="E130" s="19">
        <v>100000</v>
      </c>
    </row>
    <row r="131" spans="2:6">
      <c r="B131" s="77" t="s">
        <v>126</v>
      </c>
      <c r="C131" s="18" t="s">
        <v>189</v>
      </c>
      <c r="D131" s="15">
        <v>2</v>
      </c>
      <c r="E131" s="19">
        <v>235000</v>
      </c>
    </row>
    <row r="132" spans="2:6">
      <c r="B132" s="77" t="s">
        <v>1547</v>
      </c>
      <c r="C132" s="18" t="s">
        <v>1541</v>
      </c>
      <c r="D132" s="15">
        <v>1</v>
      </c>
      <c r="E132" s="19">
        <v>33600</v>
      </c>
    </row>
    <row r="133" spans="2:6">
      <c r="B133" s="69"/>
      <c r="C133" s="70" t="s">
        <v>26</v>
      </c>
      <c r="D133" s="71" t="s">
        <v>5</v>
      </c>
      <c r="E133" s="72">
        <f>E123+E124+E128+E129+E130+E131+E132</f>
        <v>1214600</v>
      </c>
    </row>
    <row r="135" spans="2:6">
      <c r="B135" s="321" t="s">
        <v>56</v>
      </c>
      <c r="C135" s="321"/>
      <c r="D135" s="321"/>
      <c r="E135" s="321"/>
      <c r="F135" s="321"/>
    </row>
    <row r="136" spans="2:6">
      <c r="B136" s="12"/>
      <c r="C136" s="12"/>
      <c r="D136" s="12"/>
      <c r="E136" s="12"/>
      <c r="F136" s="12"/>
    </row>
    <row r="137" spans="2:6">
      <c r="B137" s="12"/>
      <c r="C137" s="12"/>
      <c r="D137" s="12"/>
      <c r="E137" s="12"/>
      <c r="F137" s="12"/>
    </row>
    <row r="138" spans="2:6" ht="21.6">
      <c r="B138" s="225" t="s">
        <v>2</v>
      </c>
      <c r="C138" s="225" t="s">
        <v>34</v>
      </c>
      <c r="D138" s="225" t="s">
        <v>53</v>
      </c>
      <c r="E138" s="223" t="s">
        <v>54</v>
      </c>
      <c r="F138" s="223" t="s">
        <v>55</v>
      </c>
    </row>
    <row r="139" spans="2:6">
      <c r="B139" s="225"/>
      <c r="C139" s="225">
        <v>1</v>
      </c>
      <c r="D139" s="225">
        <v>2</v>
      </c>
      <c r="E139" s="223">
        <v>3</v>
      </c>
      <c r="F139" s="225">
        <v>4</v>
      </c>
    </row>
    <row r="140" spans="2:6" ht="27">
      <c r="B140" s="15">
        <v>1</v>
      </c>
      <c r="C140" s="244" t="s">
        <v>832</v>
      </c>
      <c r="D140" s="16">
        <v>10</v>
      </c>
      <c r="E140" s="15">
        <v>8000</v>
      </c>
      <c r="F140" s="19">
        <f>797000</f>
        <v>797000</v>
      </c>
    </row>
    <row r="141" spans="2:6" ht="27">
      <c r="B141" s="15">
        <v>2</v>
      </c>
      <c r="C141" s="256" t="s">
        <v>834</v>
      </c>
      <c r="D141" s="17">
        <v>12</v>
      </c>
      <c r="E141" s="15">
        <v>16000</v>
      </c>
      <c r="F141" s="19">
        <f>950000</f>
        <v>950000</v>
      </c>
    </row>
    <row r="142" spans="2:6">
      <c r="B142" s="15">
        <v>3</v>
      </c>
      <c r="C142" s="244" t="s">
        <v>837</v>
      </c>
      <c r="D142" s="16">
        <v>100</v>
      </c>
      <c r="E142" s="15">
        <v>1000</v>
      </c>
      <c r="F142" s="19">
        <f>1203000</f>
        <v>1203000</v>
      </c>
    </row>
    <row r="143" spans="2:6">
      <c r="B143" s="15">
        <v>4</v>
      </c>
      <c r="C143" s="244" t="s">
        <v>838</v>
      </c>
      <c r="D143" s="16">
        <v>215</v>
      </c>
      <c r="E143" s="15">
        <v>436</v>
      </c>
      <c r="F143" s="19">
        <v>100000</v>
      </c>
    </row>
    <row r="144" spans="2:6" ht="27">
      <c r="B144" s="15">
        <v>5</v>
      </c>
      <c r="C144" s="244" t="s">
        <v>900</v>
      </c>
      <c r="D144" s="16">
        <v>3500</v>
      </c>
      <c r="E144" s="15">
        <v>400</v>
      </c>
      <c r="F144" s="19">
        <f>40000</f>
        <v>40000</v>
      </c>
    </row>
    <row r="145" spans="2:6">
      <c r="B145" s="15">
        <v>6</v>
      </c>
      <c r="C145" s="244" t="s">
        <v>901</v>
      </c>
      <c r="D145" s="16">
        <v>80</v>
      </c>
      <c r="E145" s="15">
        <v>500</v>
      </c>
      <c r="F145" s="19">
        <v>40000</v>
      </c>
    </row>
    <row r="146" spans="2:6">
      <c r="B146" s="15">
        <v>7</v>
      </c>
      <c r="C146" s="244" t="s">
        <v>843</v>
      </c>
      <c r="D146" s="16">
        <v>25</v>
      </c>
      <c r="E146" s="15">
        <v>400</v>
      </c>
      <c r="F146" s="19">
        <v>10000</v>
      </c>
    </row>
    <row r="147" spans="2:6">
      <c r="B147" s="15">
        <v>8</v>
      </c>
      <c r="C147" s="244" t="s">
        <v>844</v>
      </c>
      <c r="D147" s="16">
        <v>50</v>
      </c>
      <c r="E147" s="15">
        <v>400</v>
      </c>
      <c r="F147" s="19">
        <f>1250000</f>
        <v>1250000</v>
      </c>
    </row>
    <row r="148" spans="2:6">
      <c r="B148" s="15">
        <v>9</v>
      </c>
      <c r="C148" s="244" t="s">
        <v>902</v>
      </c>
      <c r="D148" s="16">
        <v>3</v>
      </c>
      <c r="E148" s="15">
        <v>500000</v>
      </c>
      <c r="F148" s="19">
        <f>750000</f>
        <v>750000</v>
      </c>
    </row>
    <row r="149" spans="2:6">
      <c r="B149" s="15">
        <v>10</v>
      </c>
      <c r="C149" s="244" t="s">
        <v>1521</v>
      </c>
      <c r="D149" s="16">
        <v>35</v>
      </c>
      <c r="E149" s="15">
        <v>20000</v>
      </c>
      <c r="F149" s="19">
        <f>1600000</f>
        <v>1600000</v>
      </c>
    </row>
    <row r="150" spans="2:6" ht="28.2">
      <c r="B150" s="15">
        <v>11</v>
      </c>
      <c r="C150" s="18" t="s">
        <v>1548</v>
      </c>
      <c r="D150" s="16">
        <v>500</v>
      </c>
      <c r="E150" s="15">
        <v>5000</v>
      </c>
      <c r="F150" s="19">
        <f>2500000-400000</f>
        <v>2100000</v>
      </c>
    </row>
    <row r="151" spans="2:6">
      <c r="B151" s="69"/>
      <c r="C151" s="70" t="s">
        <v>26</v>
      </c>
      <c r="D151" s="70"/>
      <c r="E151" s="71" t="s">
        <v>5</v>
      </c>
      <c r="F151" s="72">
        <f>SUM(F140:F150)</f>
        <v>8840000</v>
      </c>
    </row>
  </sheetData>
  <mergeCells count="11">
    <mergeCell ref="E45:G46"/>
    <mergeCell ref="B1:E1"/>
    <mergeCell ref="C17:E17"/>
    <mergeCell ref="C19:F19"/>
    <mergeCell ref="D22:F22"/>
    <mergeCell ref="B42:F42"/>
    <mergeCell ref="C72:G72"/>
    <mergeCell ref="C91:F91"/>
    <mergeCell ref="B102:F102"/>
    <mergeCell ref="B119:E119"/>
    <mergeCell ref="B135:F135"/>
  </mergeCells>
  <pageMargins left="0.7" right="0.7" top="0.75" bottom="0.75" header="0.3" footer="0.3"/>
  <pageSetup paperSize="9" orientation="landscape" copies="2" r:id="rId1"/>
</worksheet>
</file>

<file path=xl/worksheets/sheet3.xml><?xml version="1.0" encoding="utf-8"?>
<worksheet xmlns="http://schemas.openxmlformats.org/spreadsheetml/2006/main" xmlns:r="http://schemas.openxmlformats.org/officeDocument/2006/relationships">
  <dimension ref="A1:J40"/>
  <sheetViews>
    <sheetView topLeftCell="A16" workbookViewId="0">
      <selection activeCell="G19" sqref="G19"/>
    </sheetView>
  </sheetViews>
  <sheetFormatPr defaultRowHeight="14.4"/>
  <cols>
    <col min="2" max="2" width="16.5546875" customWidth="1"/>
    <col min="4" max="4" width="14.5546875" customWidth="1"/>
    <col min="5" max="5" width="10.21875" bestFit="1" customWidth="1"/>
    <col min="6" max="6" width="15.5546875" customWidth="1"/>
    <col min="7" max="7" width="11.33203125" bestFit="1" customWidth="1"/>
    <col min="10" max="10" width="18.5546875" customWidth="1"/>
  </cols>
  <sheetData>
    <row r="1" spans="1:10" ht="15.6">
      <c r="A1" s="320" t="s">
        <v>108</v>
      </c>
      <c r="B1" s="320"/>
      <c r="C1" s="320"/>
      <c r="D1" s="320"/>
      <c r="E1" s="320"/>
      <c r="F1" s="320"/>
      <c r="G1" s="320"/>
      <c r="H1" s="320"/>
      <c r="I1" s="320"/>
      <c r="J1" s="320"/>
    </row>
    <row r="2" spans="1:10" ht="15.6">
      <c r="A2" s="13"/>
      <c r="B2" s="13"/>
      <c r="C2" s="13"/>
      <c r="D2" s="13"/>
      <c r="E2" s="13"/>
      <c r="F2" s="13"/>
      <c r="G2" s="13"/>
      <c r="H2" s="13"/>
      <c r="I2" s="13"/>
      <c r="J2" s="13"/>
    </row>
    <row r="3" spans="1:10" ht="15.6">
      <c r="A3" s="59" t="s">
        <v>28</v>
      </c>
      <c r="B3" s="59"/>
      <c r="C3" s="59"/>
      <c r="D3" s="13"/>
      <c r="E3" s="226">
        <v>111</v>
      </c>
      <c r="F3" s="13"/>
      <c r="G3" s="13"/>
      <c r="H3" s="13"/>
      <c r="I3" s="13"/>
      <c r="J3" s="13"/>
    </row>
    <row r="4" spans="1:10" ht="15.6">
      <c r="A4" s="59" t="s">
        <v>29</v>
      </c>
      <c r="B4" s="59"/>
      <c r="C4" s="59"/>
      <c r="D4" s="13"/>
      <c r="E4" s="226" t="s">
        <v>874</v>
      </c>
      <c r="F4" s="13"/>
      <c r="G4" s="13"/>
      <c r="H4" s="13"/>
      <c r="I4" s="13"/>
      <c r="J4" s="13"/>
    </row>
    <row r="5" spans="1:10" ht="15.6">
      <c r="A5" s="320" t="s">
        <v>109</v>
      </c>
      <c r="B5" s="320"/>
      <c r="C5" s="320"/>
      <c r="D5" s="320"/>
      <c r="E5" s="320"/>
      <c r="F5" s="320"/>
      <c r="G5" s="320"/>
      <c r="H5" s="320"/>
      <c r="I5" s="320"/>
      <c r="J5" s="320"/>
    </row>
    <row r="6" spans="1:10" ht="15.6">
      <c r="A6" s="13"/>
      <c r="B6" s="13"/>
      <c r="C6" s="13"/>
      <c r="D6" s="13"/>
      <c r="E6" s="13"/>
      <c r="F6" s="13"/>
      <c r="G6" s="13"/>
      <c r="H6" s="13"/>
      <c r="I6" s="13"/>
      <c r="J6" s="13"/>
    </row>
    <row r="7" spans="1:10">
      <c r="A7" s="314" t="s">
        <v>2</v>
      </c>
      <c r="B7" s="314" t="s">
        <v>110</v>
      </c>
      <c r="C7" s="314" t="s">
        <v>111</v>
      </c>
      <c r="D7" s="314" t="s">
        <v>112</v>
      </c>
      <c r="E7" s="314"/>
      <c r="F7" s="314"/>
      <c r="G7" s="314"/>
      <c r="H7" s="315" t="s">
        <v>119</v>
      </c>
      <c r="I7" s="315" t="s">
        <v>113</v>
      </c>
      <c r="J7" s="315" t="s">
        <v>120</v>
      </c>
    </row>
    <row r="8" spans="1:10">
      <c r="A8" s="314"/>
      <c r="B8" s="314"/>
      <c r="C8" s="314"/>
      <c r="D8" s="314" t="s">
        <v>114</v>
      </c>
      <c r="E8" s="318" t="s">
        <v>115</v>
      </c>
      <c r="F8" s="318"/>
      <c r="G8" s="318"/>
      <c r="H8" s="316"/>
      <c r="I8" s="316"/>
      <c r="J8" s="316"/>
    </row>
    <row r="9" spans="1:10" ht="30">
      <c r="A9" s="314"/>
      <c r="B9" s="314"/>
      <c r="C9" s="314"/>
      <c r="D9" s="314"/>
      <c r="E9" s="214" t="s">
        <v>116</v>
      </c>
      <c r="F9" s="214" t="s">
        <v>117</v>
      </c>
      <c r="G9" s="214" t="s">
        <v>118</v>
      </c>
      <c r="H9" s="317"/>
      <c r="I9" s="317"/>
      <c r="J9" s="317"/>
    </row>
    <row r="10" spans="1:10">
      <c r="A10" s="215">
        <v>1</v>
      </c>
      <c r="B10" s="215">
        <v>2</v>
      </c>
      <c r="C10" s="215">
        <v>3</v>
      </c>
      <c r="D10" s="215">
        <v>4</v>
      </c>
      <c r="E10" s="215">
        <v>5</v>
      </c>
      <c r="F10" s="215">
        <v>6</v>
      </c>
      <c r="G10" s="215">
        <v>7</v>
      </c>
      <c r="H10" s="215">
        <v>8</v>
      </c>
      <c r="I10" s="215">
        <v>9</v>
      </c>
      <c r="J10" s="215">
        <v>10</v>
      </c>
    </row>
    <row r="11" spans="1:10" ht="15.6">
      <c r="A11" s="5">
        <v>1</v>
      </c>
      <c r="B11" s="227" t="s">
        <v>198</v>
      </c>
      <c r="C11" s="5">
        <v>4.25</v>
      </c>
      <c r="D11" s="11">
        <f>E11+F11+G11</f>
        <v>20423.599999999999</v>
      </c>
      <c r="E11" s="11">
        <v>9001.7000000000007</v>
      </c>
      <c r="F11" s="11">
        <v>3421.9</v>
      </c>
      <c r="G11" s="11">
        <v>8000</v>
      </c>
      <c r="H11" s="11">
        <v>60</v>
      </c>
      <c r="I11" s="11">
        <v>1</v>
      </c>
      <c r="J11" s="11">
        <f>((D11*C11)*1.6)*12</f>
        <v>1666565.7599999998</v>
      </c>
    </row>
    <row r="12" spans="1:10" ht="15.6">
      <c r="A12" s="5"/>
      <c r="B12" s="227"/>
      <c r="C12" s="5"/>
      <c r="D12" s="5"/>
      <c r="E12" s="11"/>
      <c r="F12" s="11"/>
      <c r="G12" s="11"/>
      <c r="H12" s="11"/>
      <c r="I12" s="11"/>
      <c r="J12" s="11"/>
    </row>
    <row r="13" spans="1:10" ht="15.6">
      <c r="A13" s="5">
        <v>2</v>
      </c>
      <c r="B13" s="227" t="s">
        <v>199</v>
      </c>
      <c r="C13" s="228">
        <v>9</v>
      </c>
      <c r="D13" s="11">
        <f>E13+F13+G13</f>
        <v>14967.63</v>
      </c>
      <c r="E13" s="11">
        <v>6668.98</v>
      </c>
      <c r="F13" s="11">
        <v>3298.65</v>
      </c>
      <c r="G13" s="11">
        <v>5000</v>
      </c>
      <c r="H13" s="11">
        <v>60</v>
      </c>
      <c r="I13" s="11">
        <v>1</v>
      </c>
      <c r="J13" s="11">
        <f>((D13*C13)*1.6)*12</f>
        <v>2586406.4639999997</v>
      </c>
    </row>
    <row r="14" spans="1:10" ht="15.6">
      <c r="A14" s="5"/>
      <c r="B14" s="227"/>
      <c r="C14" s="5"/>
      <c r="D14" s="5"/>
      <c r="E14" s="11"/>
      <c r="F14" s="11"/>
      <c r="G14" s="11"/>
      <c r="H14" s="11"/>
      <c r="I14" s="11"/>
      <c r="J14" s="11"/>
    </row>
    <row r="15" spans="1:10" ht="15.6">
      <c r="A15" s="5"/>
      <c r="B15" s="227"/>
      <c r="C15" s="5"/>
      <c r="D15" s="5"/>
      <c r="E15" s="11"/>
      <c r="F15" s="11"/>
      <c r="G15" s="11"/>
      <c r="H15" s="11"/>
      <c r="I15" s="11"/>
      <c r="J15" s="11"/>
    </row>
    <row r="16" spans="1:10" ht="15.6">
      <c r="A16" s="5">
        <v>3</v>
      </c>
      <c r="B16" s="227" t="s">
        <v>201</v>
      </c>
      <c r="C16" s="5">
        <v>2.5</v>
      </c>
      <c r="D16" s="11">
        <f>E16+F16+G16</f>
        <v>11280</v>
      </c>
      <c r="E16" s="11">
        <v>4730.8999999999996</v>
      </c>
      <c r="F16" s="11">
        <v>1601.1</v>
      </c>
      <c r="G16" s="11">
        <v>4948</v>
      </c>
      <c r="H16" s="11">
        <v>60</v>
      </c>
      <c r="I16" s="11">
        <v>1</v>
      </c>
      <c r="J16" s="11">
        <f>((D16*C16)*1.6)*12</f>
        <v>541440</v>
      </c>
    </row>
    <row r="17" spans="1:10" ht="15.6">
      <c r="A17" s="5"/>
      <c r="B17" s="227"/>
      <c r="C17" s="5"/>
      <c r="D17" s="5"/>
      <c r="E17" s="11"/>
      <c r="F17" s="11"/>
      <c r="G17" s="11"/>
      <c r="H17" s="11"/>
      <c r="I17" s="11"/>
      <c r="J17" s="11"/>
    </row>
    <row r="18" spans="1:10" ht="15.6">
      <c r="A18" s="5">
        <v>4</v>
      </c>
      <c r="B18" s="227" t="s">
        <v>202</v>
      </c>
      <c r="C18" s="5">
        <v>5</v>
      </c>
      <c r="D18" s="11">
        <f>E18+F18+G18</f>
        <v>8953.130000000001</v>
      </c>
      <c r="E18" s="11">
        <v>5536.42</v>
      </c>
      <c r="F18" s="11">
        <v>1337.71</v>
      </c>
      <c r="G18" s="11">
        <v>2079</v>
      </c>
      <c r="H18" s="11">
        <v>60</v>
      </c>
      <c r="I18" s="11">
        <v>1</v>
      </c>
      <c r="J18" s="11">
        <f>((D18*C18)*1.6)*12</f>
        <v>859500.48000000021</v>
      </c>
    </row>
    <row r="19" spans="1:10" ht="15.6">
      <c r="A19" s="5"/>
      <c r="B19" s="227"/>
      <c r="C19" s="5"/>
      <c r="D19" s="5"/>
      <c r="E19" s="11"/>
      <c r="F19" s="11"/>
      <c r="G19" s="11"/>
      <c r="H19" s="11"/>
      <c r="I19" s="11"/>
      <c r="J19" s="11"/>
    </row>
    <row r="20" spans="1:10" ht="15.6">
      <c r="A20" s="5"/>
      <c r="B20" s="229"/>
      <c r="C20" s="5">
        <f>C11+C13+C16+C18</f>
        <v>20.75</v>
      </c>
      <c r="D20" s="11">
        <f>E20+F20+G20</f>
        <v>0</v>
      </c>
      <c r="E20" s="11"/>
      <c r="F20" s="11"/>
      <c r="G20" s="11"/>
      <c r="H20" s="11"/>
      <c r="I20" s="11"/>
      <c r="J20" s="11">
        <f>(C20*D20*(1+H20/100)*I20*12)</f>
        <v>0</v>
      </c>
    </row>
    <row r="21" spans="1:10" ht="15.6">
      <c r="A21" s="32"/>
      <c r="B21" s="31" t="s">
        <v>121</v>
      </c>
      <c r="C21" s="32" t="s">
        <v>5</v>
      </c>
      <c r="D21" s="32"/>
      <c r="E21" s="34" t="s">
        <v>5</v>
      </c>
      <c r="F21" s="34" t="s">
        <v>5</v>
      </c>
      <c r="G21" s="34" t="s">
        <v>5</v>
      </c>
      <c r="H21" s="34" t="s">
        <v>5</v>
      </c>
      <c r="I21" s="34" t="s">
        <v>5</v>
      </c>
      <c r="J21" s="34">
        <f>SUM(J11:J20)</f>
        <v>5653912.7039999999</v>
      </c>
    </row>
    <row r="32" spans="1:10" ht="15.6">
      <c r="A32" s="313" t="s">
        <v>101</v>
      </c>
      <c r="B32" s="313"/>
      <c r="C32" s="313"/>
      <c r="D32" s="313"/>
      <c r="E32" s="313"/>
      <c r="F32" s="313"/>
    </row>
    <row r="34" spans="1:6" ht="72.599999999999994">
      <c r="A34" s="46" t="s">
        <v>2</v>
      </c>
      <c r="B34" s="46" t="s">
        <v>34</v>
      </c>
      <c r="C34" s="47" t="s">
        <v>102</v>
      </c>
      <c r="D34" s="47" t="s">
        <v>103</v>
      </c>
      <c r="E34" s="47" t="s">
        <v>104</v>
      </c>
      <c r="F34" s="47" t="s">
        <v>90</v>
      </c>
    </row>
    <row r="35" spans="1:6">
      <c r="A35" s="45">
        <v>1</v>
      </c>
      <c r="B35" s="45">
        <v>2</v>
      </c>
      <c r="C35" s="45">
        <v>3</v>
      </c>
      <c r="D35" s="45">
        <v>4</v>
      </c>
      <c r="E35" s="45">
        <v>5</v>
      </c>
      <c r="F35" s="45">
        <v>6</v>
      </c>
    </row>
    <row r="36" spans="1:6" ht="15.6">
      <c r="A36" s="5">
        <v>1</v>
      </c>
      <c r="B36" s="5" t="s">
        <v>105</v>
      </c>
      <c r="C36" s="5">
        <v>600</v>
      </c>
      <c r="D36" s="5">
        <v>3</v>
      </c>
      <c r="E36" s="11">
        <v>2</v>
      </c>
      <c r="F36" s="11">
        <f>C36*D36*E36</f>
        <v>3600</v>
      </c>
    </row>
    <row r="37" spans="1:6" ht="15.6">
      <c r="A37" s="5">
        <v>2</v>
      </c>
      <c r="B37" s="5" t="s">
        <v>106</v>
      </c>
      <c r="C37" s="5">
        <v>5000</v>
      </c>
      <c r="D37" s="5">
        <v>1</v>
      </c>
      <c r="E37" s="11">
        <v>1</v>
      </c>
      <c r="F37" s="11">
        <f>C37*D37*E37</f>
        <v>5000</v>
      </c>
    </row>
    <row r="38" spans="1:6" ht="15.6">
      <c r="A38" s="5">
        <v>3</v>
      </c>
      <c r="B38" s="5" t="s">
        <v>107</v>
      </c>
      <c r="C38" s="5">
        <v>200</v>
      </c>
      <c r="D38" s="5">
        <v>3</v>
      </c>
      <c r="E38" s="11">
        <v>2</v>
      </c>
      <c r="F38" s="11">
        <f t="shared" ref="F38" si="0">C38*D38*E38</f>
        <v>1200</v>
      </c>
    </row>
    <row r="39" spans="1:6" ht="15.6">
      <c r="A39" s="5"/>
      <c r="B39" s="5"/>
      <c r="C39" s="5"/>
      <c r="D39" s="5"/>
      <c r="E39" s="11"/>
      <c r="F39" s="11"/>
    </row>
    <row r="40" spans="1:6">
      <c r="A40" s="44"/>
      <c r="B40" s="51" t="s">
        <v>25</v>
      </c>
      <c r="C40" s="52" t="s">
        <v>5</v>
      </c>
      <c r="D40" s="52" t="s">
        <v>5</v>
      </c>
      <c r="E40" s="52" t="s">
        <v>5</v>
      </c>
      <c r="F40" s="53">
        <f>SUM(F36:F39)</f>
        <v>9800</v>
      </c>
    </row>
  </sheetData>
  <mergeCells count="12">
    <mergeCell ref="E8:G8"/>
    <mergeCell ref="A32:F32"/>
    <mergeCell ref="A1:J1"/>
    <mergeCell ref="A5:J5"/>
    <mergeCell ref="A7:A9"/>
    <mergeCell ref="B7:B9"/>
    <mergeCell ref="C7:C9"/>
    <mergeCell ref="D7:G7"/>
    <mergeCell ref="H7:H9"/>
    <mergeCell ref="I7:I9"/>
    <mergeCell ref="J7:J9"/>
    <mergeCell ref="D8:D9"/>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dimension ref="B1:G208"/>
  <sheetViews>
    <sheetView topLeftCell="A135" workbookViewId="0">
      <selection activeCell="A147" sqref="A147:XFD150"/>
    </sheetView>
  </sheetViews>
  <sheetFormatPr defaultRowHeight="14.4"/>
  <cols>
    <col min="1" max="1" width="5" customWidth="1"/>
    <col min="2" max="2" width="5.5546875" customWidth="1"/>
    <col min="3" max="3" width="49.44140625" customWidth="1"/>
    <col min="4" max="4" width="13.5546875" customWidth="1"/>
    <col min="5" max="5" width="31.6640625" customWidth="1"/>
    <col min="6" max="6" width="13.44140625" customWidth="1"/>
    <col min="7" max="7" width="11.109375" customWidth="1"/>
  </cols>
  <sheetData>
    <row r="1" spans="2:7" ht="66" hidden="1" customHeight="1">
      <c r="B1" s="313" t="s">
        <v>139</v>
      </c>
      <c r="C1" s="313"/>
      <c r="D1" s="313"/>
      <c r="E1" s="313"/>
      <c r="F1" s="313"/>
      <c r="G1" s="313"/>
    </row>
    <row r="2" spans="2:7" ht="48.6" hidden="1">
      <c r="B2" s="46" t="s">
        <v>2</v>
      </c>
      <c r="C2" s="46" t="s">
        <v>34</v>
      </c>
      <c r="D2" s="47" t="s">
        <v>95</v>
      </c>
      <c r="E2" s="47" t="s">
        <v>96</v>
      </c>
      <c r="F2" s="47" t="s">
        <v>97</v>
      </c>
      <c r="G2" s="47" t="s">
        <v>90</v>
      </c>
    </row>
    <row r="3" spans="2:7" hidden="1">
      <c r="B3" s="45">
        <v>1</v>
      </c>
      <c r="C3" s="45">
        <v>2</v>
      </c>
      <c r="D3" s="45">
        <v>3</v>
      </c>
      <c r="E3" s="45">
        <v>4</v>
      </c>
      <c r="F3" s="45">
        <v>5</v>
      </c>
      <c r="G3" s="45">
        <v>6</v>
      </c>
    </row>
    <row r="4" spans="2:7" ht="15.6" hidden="1">
      <c r="B4" s="5">
        <v>1</v>
      </c>
      <c r="C4" s="5" t="s">
        <v>98</v>
      </c>
      <c r="D4" s="4">
        <v>0</v>
      </c>
      <c r="E4" s="4">
        <v>12</v>
      </c>
      <c r="F4" s="9">
        <v>9600</v>
      </c>
      <c r="G4" s="9">
        <f>D4*E4*F4</f>
        <v>0</v>
      </c>
    </row>
    <row r="5" spans="2:7" ht="15.6" hidden="1">
      <c r="B5" s="5">
        <v>2</v>
      </c>
      <c r="C5" s="5" t="s">
        <v>99</v>
      </c>
      <c r="D5" s="4">
        <v>0</v>
      </c>
      <c r="E5" s="4">
        <v>12</v>
      </c>
      <c r="F5" s="9">
        <v>60</v>
      </c>
      <c r="G5" s="9">
        <f>D5*E5*F5</f>
        <v>0</v>
      </c>
    </row>
    <row r="6" spans="2:7" ht="15.6" hidden="1">
      <c r="B6" s="5"/>
      <c r="C6" s="5"/>
      <c r="D6" s="4"/>
      <c r="E6" s="4"/>
      <c r="F6" s="9"/>
      <c r="G6" s="9"/>
    </row>
    <row r="7" spans="2:7" ht="15.6" hidden="1">
      <c r="B7" s="5"/>
      <c r="C7" s="5"/>
      <c r="D7" s="4"/>
      <c r="E7" s="4"/>
      <c r="F7" s="9"/>
      <c r="G7" s="9"/>
    </row>
    <row r="8" spans="2:7" hidden="1">
      <c r="B8" s="44"/>
      <c r="C8" s="51" t="s">
        <v>25</v>
      </c>
      <c r="D8" s="52" t="s">
        <v>5</v>
      </c>
      <c r="E8" s="52" t="s">
        <v>5</v>
      </c>
      <c r="F8" s="52" t="s">
        <v>5</v>
      </c>
      <c r="G8" s="53">
        <f>SUM(G4:G7)</f>
        <v>0</v>
      </c>
    </row>
    <row r="9" spans="2:7" hidden="1">
      <c r="B9" s="209"/>
      <c r="C9" s="210"/>
      <c r="D9" s="211"/>
      <c r="E9" s="211"/>
      <c r="F9" s="211"/>
      <c r="G9" s="212"/>
    </row>
    <row r="10" spans="2:7" hidden="1">
      <c r="B10" s="209"/>
      <c r="C10" s="210"/>
      <c r="D10" s="211"/>
      <c r="E10" s="211"/>
      <c r="F10" s="211"/>
      <c r="G10" s="212"/>
    </row>
    <row r="11" spans="2:7" hidden="1">
      <c r="B11" s="209"/>
      <c r="C11" s="210"/>
      <c r="D11" s="211"/>
      <c r="E11" s="211"/>
      <c r="F11" s="211"/>
      <c r="G11" s="212"/>
    </row>
    <row r="12" spans="2:7" hidden="1">
      <c r="B12" s="209"/>
      <c r="C12" s="210"/>
      <c r="D12" s="211"/>
      <c r="E12" s="211"/>
      <c r="F12" s="211"/>
      <c r="G12" s="212"/>
    </row>
    <row r="13" spans="2:7" hidden="1">
      <c r="B13" s="209"/>
      <c r="C13" s="210"/>
      <c r="D13" s="211"/>
      <c r="E13" s="211"/>
      <c r="F13" s="211"/>
      <c r="G13" s="212"/>
    </row>
    <row r="14" spans="2:7" hidden="1">
      <c r="B14" s="209"/>
      <c r="C14" s="210"/>
      <c r="D14" s="211"/>
      <c r="E14" s="211"/>
      <c r="F14" s="211"/>
      <c r="G14" s="212"/>
    </row>
    <row r="15" spans="2:7" hidden="1">
      <c r="B15" s="209"/>
      <c r="C15" s="210"/>
      <c r="D15" s="211"/>
      <c r="E15" s="211"/>
      <c r="F15" s="211"/>
      <c r="G15" s="212"/>
    </row>
    <row r="16" spans="2:7" hidden="1">
      <c r="B16" s="209"/>
      <c r="C16" s="210"/>
      <c r="D16" s="211"/>
      <c r="E16" s="211"/>
      <c r="F16" s="211"/>
      <c r="G16" s="212"/>
    </row>
    <row r="17" spans="2:7" hidden="1">
      <c r="B17" s="209"/>
      <c r="C17" s="210"/>
      <c r="D17" s="211"/>
      <c r="E17" s="211"/>
      <c r="F17" s="211"/>
      <c r="G17" s="212"/>
    </row>
    <row r="18" spans="2:7" hidden="1">
      <c r="B18" s="209"/>
      <c r="C18" s="210"/>
      <c r="D18" s="211"/>
      <c r="E18" s="211"/>
      <c r="F18" s="211"/>
      <c r="G18" s="212"/>
    </row>
    <row r="19" spans="2:7" hidden="1">
      <c r="B19" s="209"/>
      <c r="C19" s="210"/>
      <c r="D19" s="211"/>
      <c r="E19" s="211"/>
      <c r="F19" s="211"/>
      <c r="G19" s="212"/>
    </row>
    <row r="20" spans="2:7" hidden="1">
      <c r="B20" s="209"/>
      <c r="C20" s="210"/>
      <c r="D20" s="211"/>
      <c r="E20" s="211"/>
      <c r="F20" s="211"/>
      <c r="G20" s="212"/>
    </row>
    <row r="21" spans="2:7" hidden="1">
      <c r="B21" s="209"/>
      <c r="C21" s="210"/>
      <c r="D21" s="211"/>
      <c r="E21" s="211"/>
      <c r="F21" s="211"/>
      <c r="G21" s="212"/>
    </row>
    <row r="22" spans="2:7" hidden="1">
      <c r="B22" s="209"/>
      <c r="C22" s="210"/>
      <c r="D22" s="211"/>
      <c r="E22" s="211"/>
      <c r="F22" s="211"/>
      <c r="G22" s="212"/>
    </row>
    <row r="23" spans="2:7" hidden="1">
      <c r="B23" s="209"/>
      <c r="C23" s="210"/>
      <c r="D23" s="211"/>
      <c r="E23" s="211"/>
      <c r="F23" s="211"/>
      <c r="G23" s="212"/>
    </row>
    <row r="24" spans="2:7" s="237" customFormat="1" ht="27.15" customHeight="1">
      <c r="B24" s="323" t="s">
        <v>889</v>
      </c>
      <c r="C24" s="326"/>
      <c r="D24" s="326"/>
      <c r="E24" s="326"/>
    </row>
    <row r="25" spans="2:7" ht="19.649999999999999" customHeight="1">
      <c r="B25" s="235" t="s">
        <v>2</v>
      </c>
      <c r="C25" s="236" t="s">
        <v>0</v>
      </c>
      <c r="D25" s="236" t="s">
        <v>3</v>
      </c>
      <c r="E25" s="235" t="s">
        <v>1</v>
      </c>
    </row>
    <row r="26" spans="2:7" ht="9.75" customHeight="1">
      <c r="B26" s="1">
        <v>1</v>
      </c>
      <c r="C26" s="3">
        <v>2</v>
      </c>
      <c r="D26" s="1">
        <v>3</v>
      </c>
      <c r="E26" s="1">
        <v>4</v>
      </c>
    </row>
    <row r="27" spans="2:7" s="237" customFormat="1" ht="28.5" customHeight="1">
      <c r="B27" s="238">
        <v>1</v>
      </c>
      <c r="C27" s="239" t="s">
        <v>4</v>
      </c>
      <c r="D27" s="238" t="s">
        <v>5</v>
      </c>
      <c r="E27" s="240">
        <f>SUM(E28:E29)</f>
        <v>1224114.1754000001</v>
      </c>
    </row>
    <row r="28" spans="2:7" s="237" customFormat="1" ht="24" customHeight="1">
      <c r="B28" s="241" t="s">
        <v>6</v>
      </c>
      <c r="C28" s="242" t="s">
        <v>890</v>
      </c>
      <c r="D28" s="243">
        <v>5253928.07</v>
      </c>
      <c r="E28" s="243">
        <f>(D28*22%)</f>
        <v>1155864.1754000001</v>
      </c>
    </row>
    <row r="29" spans="2:7" s="237" customFormat="1" ht="21.75" customHeight="1">
      <c r="B29" s="241" t="s">
        <v>9</v>
      </c>
      <c r="C29" s="244" t="s">
        <v>8</v>
      </c>
      <c r="D29" s="243">
        <v>682500</v>
      </c>
      <c r="E29" s="243">
        <f>D29*10%</f>
        <v>68250</v>
      </c>
    </row>
    <row r="30" spans="2:7" s="237" customFormat="1" ht="36.75" customHeight="1">
      <c r="B30" s="241" t="s">
        <v>10</v>
      </c>
      <c r="C30" s="244" t="s">
        <v>11</v>
      </c>
      <c r="D30" s="243"/>
      <c r="E30" s="243"/>
    </row>
    <row r="31" spans="2:7" s="237" customFormat="1" ht="27.75" customHeight="1">
      <c r="B31" s="245" t="s">
        <v>12</v>
      </c>
      <c r="C31" s="246" t="s">
        <v>13</v>
      </c>
      <c r="D31" s="240" t="s">
        <v>5</v>
      </c>
      <c r="E31" s="240">
        <f>SUM(E32:E36)</f>
        <v>178098.73420499999</v>
      </c>
    </row>
    <row r="32" spans="2:7" s="237" customFormat="1" ht="49.5" customHeight="1">
      <c r="B32" s="241" t="s">
        <v>14</v>
      </c>
      <c r="C32" s="244" t="s">
        <v>15</v>
      </c>
      <c r="D32" s="243">
        <v>5653928.0700000003</v>
      </c>
      <c r="E32" s="243">
        <f>D32*2.9%</f>
        <v>163963.91402999999</v>
      </c>
    </row>
    <row r="33" spans="2:7" s="237" customFormat="1" ht="27.15" customHeight="1">
      <c r="B33" s="241" t="s">
        <v>16</v>
      </c>
      <c r="C33" s="244" t="s">
        <v>17</v>
      </c>
      <c r="D33" s="243"/>
      <c r="E33" s="243"/>
    </row>
    <row r="34" spans="2:7" s="237" customFormat="1" ht="35.25" customHeight="1">
      <c r="B34" s="241" t="s">
        <v>18</v>
      </c>
      <c r="C34" s="244" t="s">
        <v>78</v>
      </c>
      <c r="D34" s="243">
        <v>5653928.0700000003</v>
      </c>
      <c r="E34" s="243">
        <f>D34*0.25%</f>
        <v>14134.820175000001</v>
      </c>
    </row>
    <row r="35" spans="2:7" s="237" customFormat="1" ht="40.5" customHeight="1">
      <c r="B35" s="241" t="s">
        <v>19</v>
      </c>
      <c r="C35" s="244" t="s">
        <v>20</v>
      </c>
      <c r="D35" s="243"/>
      <c r="E35" s="243"/>
    </row>
    <row r="36" spans="2:7" s="237" customFormat="1" ht="35.25" customHeight="1">
      <c r="B36" s="241" t="s">
        <v>23</v>
      </c>
      <c r="C36" s="244" t="s">
        <v>20</v>
      </c>
      <c r="D36" s="243"/>
      <c r="E36" s="243"/>
    </row>
    <row r="37" spans="2:7" s="237" customFormat="1" ht="25.5" customHeight="1">
      <c r="B37" s="247" t="s">
        <v>24</v>
      </c>
      <c r="C37" s="248" t="s">
        <v>100</v>
      </c>
      <c r="D37" s="249">
        <v>5653928.0700000003</v>
      </c>
      <c r="E37" s="249">
        <f>D37*5.1%</f>
        <v>288350.33156999998</v>
      </c>
      <c r="F37" s="250"/>
      <c r="G37" s="250"/>
    </row>
    <row r="38" spans="2:7" s="237" customFormat="1" ht="26.25" customHeight="1">
      <c r="B38" s="245"/>
      <c r="C38" s="246" t="s">
        <v>26</v>
      </c>
      <c r="D38" s="240" t="s">
        <v>5</v>
      </c>
      <c r="E38" s="240">
        <f>E37+E31+E27</f>
        <v>1690563.2411750001</v>
      </c>
    </row>
    <row r="39" spans="2:7" ht="5.25" customHeight="1"/>
    <row r="40" spans="2:7" ht="35.25" customHeight="1">
      <c r="B40" t="s">
        <v>21</v>
      </c>
      <c r="C40" s="324" t="s">
        <v>22</v>
      </c>
      <c r="D40" s="324"/>
      <c r="E40" s="324"/>
    </row>
    <row r="43" spans="2:7" ht="15.6" hidden="1">
      <c r="B43" s="13"/>
      <c r="C43" s="320" t="s">
        <v>27</v>
      </c>
      <c r="D43" s="320"/>
      <c r="E43" s="320"/>
      <c r="F43" s="320"/>
    </row>
    <row r="44" spans="2:7" ht="15.6" hidden="1">
      <c r="B44" s="13"/>
      <c r="C44" s="13"/>
      <c r="D44" s="13"/>
      <c r="E44" s="26"/>
      <c r="F44" s="13"/>
    </row>
    <row r="45" spans="2:7" ht="15.6" hidden="1">
      <c r="B45" s="21" t="s">
        <v>28</v>
      </c>
      <c r="C45" s="21"/>
      <c r="D45" s="21" t="s">
        <v>59</v>
      </c>
      <c r="E45" s="26"/>
      <c r="F45" s="13"/>
    </row>
    <row r="46" spans="2:7" ht="15.6" hidden="1">
      <c r="B46" s="21" t="s">
        <v>29</v>
      </c>
      <c r="C46" s="21"/>
      <c r="D46" s="21" t="s">
        <v>875</v>
      </c>
      <c r="E46" s="26"/>
      <c r="F46" s="13"/>
    </row>
    <row r="47" spans="2:7" ht="15.6" hidden="1">
      <c r="B47" s="13"/>
      <c r="C47" s="13"/>
      <c r="D47" s="13"/>
      <c r="E47" s="26"/>
      <c r="F47" s="13"/>
    </row>
    <row r="48" spans="2:7" ht="37.5" hidden="1" customHeight="1">
      <c r="B48" s="230" t="s">
        <v>2</v>
      </c>
      <c r="C48" s="230" t="s">
        <v>30</v>
      </c>
      <c r="D48" s="230" t="s">
        <v>83</v>
      </c>
      <c r="E48" s="231" t="s">
        <v>31</v>
      </c>
      <c r="F48" s="230" t="s">
        <v>32</v>
      </c>
    </row>
    <row r="49" spans="2:6" hidden="1">
      <c r="B49" s="218">
        <v>1</v>
      </c>
      <c r="C49" s="218">
        <v>2</v>
      </c>
      <c r="D49" s="218">
        <v>3</v>
      </c>
      <c r="E49" s="28">
        <v>4</v>
      </c>
      <c r="F49" s="218">
        <v>5</v>
      </c>
    </row>
    <row r="50" spans="2:6" ht="15.6" hidden="1">
      <c r="B50" s="30">
        <v>1</v>
      </c>
      <c r="C50" s="31" t="s">
        <v>72</v>
      </c>
      <c r="D50" s="32" t="s">
        <v>5</v>
      </c>
      <c r="E50" s="33" t="s">
        <v>5</v>
      </c>
      <c r="F50" s="34">
        <f>SUM(F51:F58)</f>
        <v>0</v>
      </c>
    </row>
    <row r="51" spans="2:6" ht="15.6" hidden="1">
      <c r="B51" s="24" t="s">
        <v>6</v>
      </c>
      <c r="C51" s="5" t="s">
        <v>71</v>
      </c>
      <c r="D51" s="22">
        <f>74+85+85+84+84+84+128+128+128+128+128+128</f>
        <v>1264</v>
      </c>
      <c r="E51" s="29">
        <v>4.5</v>
      </c>
      <c r="F51" s="9">
        <v>0</v>
      </c>
    </row>
    <row r="52" spans="2:6" ht="15.6" hidden="1">
      <c r="B52" s="25" t="s">
        <v>9</v>
      </c>
      <c r="C52" s="5" t="s">
        <v>70</v>
      </c>
      <c r="D52" s="22">
        <f>112.2+112.2+112.2+112.2</f>
        <v>448.8</v>
      </c>
      <c r="E52" s="29">
        <v>7.5</v>
      </c>
      <c r="F52" s="9">
        <v>0</v>
      </c>
    </row>
    <row r="53" spans="2:6" ht="15.6" hidden="1">
      <c r="B53" s="25" t="s">
        <v>10</v>
      </c>
      <c r="C53" s="5" t="s">
        <v>65</v>
      </c>
      <c r="D53" s="22">
        <f>98+98+98</f>
        <v>294</v>
      </c>
      <c r="E53" s="29">
        <v>4.5</v>
      </c>
      <c r="F53" s="9">
        <v>0</v>
      </c>
    </row>
    <row r="54" spans="2:6" ht="15.6" hidden="1">
      <c r="B54" s="25" t="s">
        <v>60</v>
      </c>
      <c r="C54" s="5" t="s">
        <v>65</v>
      </c>
      <c r="D54" s="22">
        <f>140+140+140</f>
        <v>420</v>
      </c>
      <c r="E54" s="29">
        <v>7.5</v>
      </c>
      <c r="F54" s="9">
        <v>0</v>
      </c>
    </row>
    <row r="55" spans="2:6" ht="15.6" hidden="1">
      <c r="B55" s="25" t="s">
        <v>61</v>
      </c>
      <c r="C55" s="5" t="s">
        <v>66</v>
      </c>
      <c r="D55" s="22">
        <v>115</v>
      </c>
      <c r="E55" s="29">
        <v>13</v>
      </c>
      <c r="F55" s="9">
        <v>0</v>
      </c>
    </row>
    <row r="56" spans="2:6" ht="33.75" hidden="1" customHeight="1">
      <c r="B56" s="25" t="s">
        <v>67</v>
      </c>
      <c r="C56" s="6" t="s">
        <v>63</v>
      </c>
      <c r="D56" s="22">
        <v>110</v>
      </c>
      <c r="E56" s="29">
        <v>7.5</v>
      </c>
      <c r="F56" s="9">
        <v>0</v>
      </c>
    </row>
    <row r="57" spans="2:6" ht="21.75" hidden="1" customHeight="1">
      <c r="B57" s="25" t="s">
        <v>68</v>
      </c>
      <c r="C57" s="5" t="s">
        <v>62</v>
      </c>
      <c r="D57" s="22">
        <v>125.12</v>
      </c>
      <c r="E57" s="29">
        <v>7.5</v>
      </c>
      <c r="F57" s="9">
        <v>0</v>
      </c>
    </row>
    <row r="58" spans="2:6" ht="28.5" hidden="1" customHeight="1">
      <c r="B58" s="25" t="s">
        <v>69</v>
      </c>
      <c r="C58" s="6" t="s">
        <v>64</v>
      </c>
      <c r="D58" s="22">
        <v>280</v>
      </c>
      <c r="E58" s="29">
        <v>45</v>
      </c>
      <c r="F58" s="9">
        <v>0</v>
      </c>
    </row>
    <row r="59" spans="2:6" ht="15.6" hidden="1">
      <c r="B59" s="30">
        <v>2</v>
      </c>
      <c r="C59" s="35" t="s">
        <v>33</v>
      </c>
      <c r="D59" s="34">
        <v>42174065.670000002</v>
      </c>
      <c r="E59" s="33">
        <v>1.5</v>
      </c>
      <c r="F59" s="34">
        <v>0</v>
      </c>
    </row>
    <row r="60" spans="2:6" ht="15.6" hidden="1">
      <c r="B60" s="30">
        <v>3</v>
      </c>
      <c r="C60" s="35" t="s">
        <v>73</v>
      </c>
      <c r="D60" s="36" t="s">
        <v>5</v>
      </c>
      <c r="E60" s="37" t="s">
        <v>5</v>
      </c>
      <c r="F60" s="34">
        <f>SUM(F61:F62)</f>
        <v>0</v>
      </c>
    </row>
    <row r="61" spans="2:6" ht="15.6" hidden="1">
      <c r="B61" s="8" t="s">
        <v>74</v>
      </c>
      <c r="C61" s="5" t="s">
        <v>76</v>
      </c>
      <c r="D61" s="22">
        <v>53985000</v>
      </c>
      <c r="E61" s="29">
        <v>0.1</v>
      </c>
      <c r="F61" s="9">
        <v>0</v>
      </c>
    </row>
    <row r="62" spans="2:6" ht="15.6" hidden="1">
      <c r="B62" s="8" t="s">
        <v>75</v>
      </c>
      <c r="C62" s="5" t="s">
        <v>77</v>
      </c>
      <c r="D62" s="22">
        <v>1225000</v>
      </c>
      <c r="E62" s="29">
        <v>2.2000000000000002</v>
      </c>
      <c r="F62" s="9">
        <v>0</v>
      </c>
    </row>
    <row r="63" spans="2:6" ht="33" hidden="1" customHeight="1">
      <c r="B63" s="40" t="s">
        <v>80</v>
      </c>
      <c r="C63" s="41" t="s">
        <v>82</v>
      </c>
      <c r="D63" s="36">
        <v>197.3</v>
      </c>
      <c r="E63" s="37" t="s">
        <v>5</v>
      </c>
      <c r="F63" s="34">
        <v>0</v>
      </c>
    </row>
    <row r="64" spans="2:6" ht="28.5" hidden="1" customHeight="1">
      <c r="B64" s="40" t="s">
        <v>81</v>
      </c>
      <c r="C64" s="41" t="s">
        <v>84</v>
      </c>
      <c r="D64" s="36">
        <v>2000</v>
      </c>
      <c r="E64" s="37" t="s">
        <v>5</v>
      </c>
      <c r="F64" s="34">
        <v>0</v>
      </c>
    </row>
    <row r="65" spans="2:7" ht="15.6" hidden="1">
      <c r="B65" s="38"/>
      <c r="C65" s="35" t="s">
        <v>25</v>
      </c>
      <c r="D65" s="34"/>
      <c r="E65" s="33"/>
      <c r="F65" s="34">
        <f>F50+F59+F60+F63+F64</f>
        <v>0</v>
      </c>
    </row>
    <row r="66" spans="2:7" ht="15.6">
      <c r="B66" s="13"/>
      <c r="C66" s="13"/>
      <c r="D66" s="13"/>
      <c r="E66" s="26"/>
      <c r="F66" s="13"/>
    </row>
    <row r="69" spans="2:7" ht="15.6">
      <c r="B69" s="320" t="s">
        <v>85</v>
      </c>
      <c r="C69" s="320"/>
      <c r="D69" s="320"/>
      <c r="E69" s="320"/>
      <c r="F69" s="320"/>
      <c r="G69" s="13"/>
    </row>
    <row r="70" spans="2:7" ht="15.6">
      <c r="B70" s="13"/>
      <c r="C70" s="213"/>
      <c r="D70" s="213"/>
      <c r="E70" s="213"/>
      <c r="F70" s="213"/>
      <c r="G70" s="13"/>
    </row>
    <row r="71" spans="2:7" ht="15.6">
      <c r="B71" s="13"/>
      <c r="C71" s="158" t="s">
        <v>876</v>
      </c>
      <c r="D71" s="213"/>
      <c r="E71" s="169">
        <v>244</v>
      </c>
      <c r="F71" s="169"/>
      <c r="G71" s="13"/>
    </row>
    <row r="72" spans="2:7" ht="15.6">
      <c r="B72" s="13"/>
      <c r="C72" s="158" t="s">
        <v>29</v>
      </c>
      <c r="D72" s="327" t="s">
        <v>874</v>
      </c>
      <c r="E72" s="327"/>
      <c r="F72" s="327"/>
      <c r="G72" s="13"/>
    </row>
    <row r="73" spans="2:7" ht="15.6">
      <c r="B73" s="13"/>
      <c r="C73" s="158"/>
      <c r="D73" s="13"/>
      <c r="E73" s="13"/>
      <c r="F73" s="13"/>
      <c r="G73" s="13"/>
    </row>
    <row r="74" spans="2:7" ht="15.6">
      <c r="B74" s="13"/>
      <c r="C74" s="158"/>
      <c r="D74" s="13"/>
      <c r="E74" s="13"/>
      <c r="F74" s="13"/>
      <c r="G74" s="13"/>
    </row>
    <row r="75" spans="2:7" ht="15.6">
      <c r="B75" s="13"/>
      <c r="C75" s="158" t="s">
        <v>86</v>
      </c>
      <c r="D75" s="13"/>
      <c r="E75" s="13"/>
      <c r="F75" s="13"/>
      <c r="G75" s="13"/>
    </row>
    <row r="76" spans="2:7" ht="15.6">
      <c r="B76" s="13"/>
      <c r="C76" s="158"/>
      <c r="D76" s="13"/>
      <c r="E76" s="13"/>
      <c r="F76" s="13"/>
      <c r="G76" s="13"/>
    </row>
    <row r="77" spans="2:7" ht="21.6">
      <c r="B77" s="216" t="s">
        <v>2</v>
      </c>
      <c r="C77" s="216" t="s">
        <v>30</v>
      </c>
      <c r="D77" s="216" t="s">
        <v>87</v>
      </c>
      <c r="E77" s="216" t="s">
        <v>88</v>
      </c>
      <c r="F77" s="216" t="s">
        <v>89</v>
      </c>
      <c r="G77" s="43" t="s">
        <v>90</v>
      </c>
    </row>
    <row r="78" spans="2:7">
      <c r="B78" s="42">
        <v>1</v>
      </c>
      <c r="C78" s="42">
        <v>2</v>
      </c>
      <c r="D78" s="42">
        <v>3</v>
      </c>
      <c r="E78" s="42">
        <v>4</v>
      </c>
      <c r="F78" s="42">
        <v>5</v>
      </c>
      <c r="G78" s="42">
        <v>6</v>
      </c>
    </row>
    <row r="79" spans="2:7" ht="15.6">
      <c r="B79" s="61" t="s">
        <v>129</v>
      </c>
      <c r="C79" s="61" t="s">
        <v>122</v>
      </c>
      <c r="D79" s="8" t="s">
        <v>80</v>
      </c>
      <c r="E79" s="8" t="s">
        <v>12</v>
      </c>
      <c r="F79" s="9">
        <v>879.6</v>
      </c>
      <c r="G79" s="9">
        <f>F79*E79*D79</f>
        <v>7036.8</v>
      </c>
    </row>
    <row r="80" spans="2:7" ht="15.6">
      <c r="B80" s="61" t="s">
        <v>12</v>
      </c>
      <c r="C80" s="61" t="s">
        <v>124</v>
      </c>
      <c r="D80" s="8" t="s">
        <v>127</v>
      </c>
      <c r="E80" s="8" t="s">
        <v>1538</v>
      </c>
      <c r="F80" s="9">
        <v>5.25</v>
      </c>
      <c r="G80" s="9">
        <f>E80*F80</f>
        <v>1270.5</v>
      </c>
    </row>
    <row r="81" spans="2:7" ht="15.6" hidden="1">
      <c r="B81" s="61"/>
      <c r="C81" s="61" t="s">
        <v>125</v>
      </c>
      <c r="D81" s="8" t="s">
        <v>877</v>
      </c>
      <c r="E81" s="8" t="s">
        <v>123</v>
      </c>
      <c r="F81" s="9">
        <v>6755</v>
      </c>
      <c r="G81" s="9">
        <f>F81*E81*D81</f>
        <v>0</v>
      </c>
    </row>
    <row r="82" spans="2:7" ht="32.25" customHeight="1">
      <c r="B82" s="61" t="s">
        <v>24</v>
      </c>
      <c r="C82" s="63" t="s">
        <v>128</v>
      </c>
      <c r="D82" s="8" t="s">
        <v>129</v>
      </c>
      <c r="E82" s="8" t="s">
        <v>123</v>
      </c>
      <c r="F82" s="9">
        <v>890</v>
      </c>
      <c r="G82" s="9">
        <f>F82*E82*D82</f>
        <v>10680</v>
      </c>
    </row>
    <row r="83" spans="2:7" ht="15.6" hidden="1">
      <c r="B83" s="61"/>
      <c r="C83" s="61" t="s">
        <v>130</v>
      </c>
      <c r="D83" s="8" t="s">
        <v>877</v>
      </c>
      <c r="E83" s="8" t="s">
        <v>878</v>
      </c>
      <c r="F83" s="9">
        <v>2249.08</v>
      </c>
      <c r="G83" s="9">
        <f>F83*E83*D83</f>
        <v>0</v>
      </c>
    </row>
    <row r="84" spans="2:7" ht="15.6">
      <c r="B84" s="61" t="s">
        <v>80</v>
      </c>
      <c r="C84" s="61" t="s">
        <v>879</v>
      </c>
      <c r="D84" s="8" t="s">
        <v>129</v>
      </c>
      <c r="E84" s="8" t="s">
        <v>1537</v>
      </c>
      <c r="F84" s="9">
        <v>60</v>
      </c>
      <c r="G84" s="9">
        <f>F84*E84*D84</f>
        <v>6000</v>
      </c>
    </row>
    <row r="85" spans="2:7" ht="15.6">
      <c r="B85" s="61"/>
      <c r="C85" s="61"/>
      <c r="D85" s="8"/>
      <c r="E85" s="8"/>
      <c r="F85" s="9"/>
      <c r="G85" s="9"/>
    </row>
    <row r="86" spans="2:7" ht="15.6">
      <c r="B86" s="61"/>
      <c r="C86" s="61"/>
      <c r="D86" s="8"/>
      <c r="E86" s="8"/>
      <c r="F86" s="9"/>
      <c r="G86" s="9"/>
    </row>
    <row r="87" spans="2:7" ht="15.6">
      <c r="B87" s="60"/>
      <c r="C87" s="60"/>
      <c r="D87" s="8"/>
      <c r="E87" s="8"/>
      <c r="F87" s="9"/>
      <c r="G87" s="9"/>
    </row>
    <row r="88" spans="2:7" ht="15.6">
      <c r="B88" s="60"/>
      <c r="C88" s="60"/>
      <c r="D88" s="8"/>
      <c r="E88" s="8"/>
      <c r="F88" s="9"/>
      <c r="G88" s="9"/>
    </row>
    <row r="89" spans="2:7" ht="15.6">
      <c r="B89" s="60"/>
      <c r="C89" s="60"/>
      <c r="D89" s="8"/>
      <c r="E89" s="8"/>
      <c r="F89" s="9"/>
      <c r="G89" s="9"/>
    </row>
    <row r="90" spans="2:7" ht="15.6">
      <c r="B90" s="35"/>
      <c r="C90" s="35" t="s">
        <v>26</v>
      </c>
      <c r="D90" s="32" t="s">
        <v>5</v>
      </c>
      <c r="E90" s="32" t="s">
        <v>5</v>
      </c>
      <c r="F90" s="32" t="s">
        <v>5</v>
      </c>
      <c r="G90" s="62">
        <f>SUM(G79:G89)</f>
        <v>24987.3</v>
      </c>
    </row>
    <row r="98" spans="2:7" ht="15.6">
      <c r="B98" s="13"/>
      <c r="C98" s="320" t="s">
        <v>91</v>
      </c>
      <c r="D98" s="320"/>
      <c r="E98" s="320"/>
      <c r="F98" s="320"/>
      <c r="G98" s="320"/>
    </row>
    <row r="99" spans="2:7" ht="15.6">
      <c r="B99" s="13"/>
      <c r="C99" s="158"/>
      <c r="D99" s="13"/>
      <c r="E99" s="13"/>
      <c r="F99" s="64"/>
      <c r="G99" s="13"/>
    </row>
    <row r="100" spans="2:7" ht="21.6">
      <c r="B100" s="216" t="s">
        <v>2</v>
      </c>
      <c r="C100" s="216" t="s">
        <v>92</v>
      </c>
      <c r="D100" s="216" t="s">
        <v>93</v>
      </c>
      <c r="E100" s="216" t="s">
        <v>137</v>
      </c>
      <c r="F100" s="65" t="s">
        <v>94</v>
      </c>
      <c r="G100" s="43" t="s">
        <v>90</v>
      </c>
    </row>
    <row r="101" spans="2:7">
      <c r="B101" s="42">
        <v>1</v>
      </c>
      <c r="C101" s="42">
        <v>2</v>
      </c>
      <c r="D101" s="42">
        <v>3</v>
      </c>
      <c r="E101" s="42">
        <v>4</v>
      </c>
      <c r="F101" s="42" t="s">
        <v>81</v>
      </c>
      <c r="G101" s="42">
        <v>6</v>
      </c>
    </row>
    <row r="102" spans="2:7" ht="15.6">
      <c r="B102" s="40" t="s">
        <v>129</v>
      </c>
      <c r="C102" s="67" t="s">
        <v>132</v>
      </c>
      <c r="D102" s="40" t="s">
        <v>880</v>
      </c>
      <c r="E102" s="34">
        <v>6670</v>
      </c>
      <c r="F102" s="68">
        <v>6.5000000000000002E-2</v>
      </c>
      <c r="G102" s="34">
        <f>(D102*E102)+((D102*E102)*6.5%)</f>
        <v>191085.495</v>
      </c>
    </row>
    <row r="103" spans="2:7" ht="15.6">
      <c r="B103" s="8"/>
      <c r="C103" s="61"/>
      <c r="D103" s="8"/>
      <c r="E103" s="9"/>
      <c r="F103" s="66"/>
      <c r="G103" s="9"/>
    </row>
    <row r="104" spans="2:7" ht="15.6">
      <c r="B104" s="40" t="s">
        <v>12</v>
      </c>
      <c r="C104" s="67" t="s">
        <v>135</v>
      </c>
      <c r="D104" s="34">
        <f>D105</f>
        <v>113.9</v>
      </c>
      <c r="E104" s="34">
        <v>5010.59</v>
      </c>
      <c r="F104" s="34"/>
      <c r="G104" s="34">
        <f>G105</f>
        <v>607802.10406499996</v>
      </c>
    </row>
    <row r="105" spans="2:7" ht="15.6">
      <c r="B105" s="8" t="s">
        <v>16</v>
      </c>
      <c r="C105" s="61" t="s">
        <v>136</v>
      </c>
      <c r="D105" s="9">
        <f>113.9</f>
        <v>113.9</v>
      </c>
      <c r="E105" s="9">
        <v>5010.59</v>
      </c>
      <c r="F105" s="66">
        <v>6.5000000000000002E-2</v>
      </c>
      <c r="G105" s="9">
        <f>(D105*E105)+((D105*E105)*6.5%)</f>
        <v>607802.10406499996</v>
      </c>
    </row>
    <row r="106" spans="2:7" ht="15.6">
      <c r="B106" s="8"/>
      <c r="C106" s="61"/>
      <c r="D106" s="8"/>
      <c r="E106" s="9"/>
      <c r="F106" s="66"/>
      <c r="G106" s="9"/>
    </row>
    <row r="107" spans="2:7" ht="15.6">
      <c r="B107" s="40" t="s">
        <v>24</v>
      </c>
      <c r="C107" s="67" t="s">
        <v>134</v>
      </c>
      <c r="D107" s="34">
        <f>D108</f>
        <v>28.1</v>
      </c>
      <c r="E107" s="34">
        <f>E108</f>
        <v>30.06</v>
      </c>
      <c r="F107" s="34"/>
      <c r="G107" s="34">
        <f>G108</f>
        <v>899.59059000000002</v>
      </c>
    </row>
    <row r="108" spans="2:7" ht="15.6">
      <c r="B108" s="8" t="s">
        <v>75</v>
      </c>
      <c r="C108" s="61" t="s">
        <v>138</v>
      </c>
      <c r="D108" s="9">
        <v>28.1</v>
      </c>
      <c r="E108" s="9">
        <f>30.06</f>
        <v>30.06</v>
      </c>
      <c r="F108" s="66">
        <v>6.5000000000000002E-2</v>
      </c>
      <c r="G108" s="9">
        <f t="shared" ref="G108:G111" si="0">(D108*E108)+((D108*E108)*6.5%)</f>
        <v>899.59059000000002</v>
      </c>
    </row>
    <row r="109" spans="2:7" ht="15.6">
      <c r="B109" s="8"/>
      <c r="C109" s="61"/>
      <c r="D109" s="9"/>
      <c r="E109" s="9"/>
      <c r="F109" s="66"/>
      <c r="G109" s="9"/>
    </row>
    <row r="110" spans="2:7" ht="15.6">
      <c r="B110" s="40" t="s">
        <v>80</v>
      </c>
      <c r="C110" s="67" t="s">
        <v>133</v>
      </c>
      <c r="D110" s="34">
        <f>D111</f>
        <v>28.1</v>
      </c>
      <c r="E110" s="34">
        <f>E111</f>
        <v>27.93</v>
      </c>
      <c r="F110" s="34"/>
      <c r="G110" s="34">
        <f>G111</f>
        <v>835.84714500000007</v>
      </c>
    </row>
    <row r="111" spans="2:7" ht="15.6">
      <c r="B111" s="8" t="s">
        <v>75</v>
      </c>
      <c r="C111" s="61" t="s">
        <v>138</v>
      </c>
      <c r="D111" s="9">
        <v>28.1</v>
      </c>
      <c r="E111" s="9">
        <f>27.93</f>
        <v>27.93</v>
      </c>
      <c r="F111" s="66">
        <v>6.5000000000000002E-2</v>
      </c>
      <c r="G111" s="9">
        <f t="shared" si="0"/>
        <v>835.84714500000007</v>
      </c>
    </row>
    <row r="112" spans="2:7" ht="15.6">
      <c r="B112" s="8"/>
      <c r="C112" s="61"/>
      <c r="D112" s="8"/>
      <c r="E112" s="9"/>
      <c r="F112" s="66"/>
      <c r="G112" s="9"/>
    </row>
    <row r="113" spans="2:7" ht="15.6">
      <c r="B113" s="32"/>
      <c r="C113" s="31" t="s">
        <v>26</v>
      </c>
      <c r="D113" s="32" t="s">
        <v>5</v>
      </c>
      <c r="E113" s="32" t="s">
        <v>5</v>
      </c>
      <c r="F113" s="68" t="s">
        <v>5</v>
      </c>
      <c r="G113" s="34">
        <f>G102+G104+G107+G110</f>
        <v>800623.0368</v>
      </c>
    </row>
    <row r="126" spans="2:7">
      <c r="B126" s="321" t="s">
        <v>40</v>
      </c>
      <c r="C126" s="321"/>
      <c r="D126" s="321"/>
      <c r="E126" s="321"/>
      <c r="F126" s="321"/>
    </row>
    <row r="127" spans="2:7">
      <c r="B127" s="217"/>
      <c r="C127" s="12"/>
      <c r="D127" s="12"/>
      <c r="E127" s="12"/>
      <c r="F127" s="12"/>
    </row>
    <row r="128" spans="2:7">
      <c r="B128" s="217"/>
      <c r="C128" s="12"/>
      <c r="D128" s="12"/>
      <c r="E128" s="12"/>
      <c r="F128" s="12"/>
    </row>
    <row r="129" spans="2:6" ht="21.6">
      <c r="B129" s="218" t="s">
        <v>2</v>
      </c>
      <c r="C129" s="218" t="s">
        <v>34</v>
      </c>
      <c r="D129" s="218" t="s">
        <v>49</v>
      </c>
      <c r="E129" s="216" t="s">
        <v>50</v>
      </c>
      <c r="F129" s="216" t="s">
        <v>51</v>
      </c>
    </row>
    <row r="130" spans="2:6">
      <c r="B130" s="218">
        <v>1</v>
      </c>
      <c r="C130" s="218">
        <v>2</v>
      </c>
      <c r="D130" s="218">
        <v>3</v>
      </c>
      <c r="E130" s="216">
        <v>4</v>
      </c>
      <c r="F130" s="218">
        <v>5</v>
      </c>
    </row>
    <row r="131" spans="2:6" ht="24.6">
      <c r="B131" s="15">
        <v>1</v>
      </c>
      <c r="C131" s="16" t="s">
        <v>37</v>
      </c>
      <c r="D131" s="47" t="s">
        <v>196</v>
      </c>
      <c r="E131" s="15">
        <v>1</v>
      </c>
      <c r="F131" s="19">
        <v>0</v>
      </c>
    </row>
    <row r="132" spans="2:6" ht="24.6">
      <c r="B132" s="15">
        <v>2</v>
      </c>
      <c r="C132" s="16" t="s">
        <v>79</v>
      </c>
      <c r="D132" s="47" t="s">
        <v>196</v>
      </c>
      <c r="E132" s="15">
        <v>1</v>
      </c>
      <c r="F132" s="19">
        <v>4000</v>
      </c>
    </row>
    <row r="133" spans="2:6" ht="24.6">
      <c r="B133" s="15">
        <v>3</v>
      </c>
      <c r="C133" s="16" t="s">
        <v>38</v>
      </c>
      <c r="D133" s="47" t="s">
        <v>196</v>
      </c>
      <c r="E133" s="15">
        <v>2</v>
      </c>
      <c r="F133" s="19">
        <v>1000</v>
      </c>
    </row>
    <row r="134" spans="2:6" ht="24.6">
      <c r="B134" s="15">
        <v>4</v>
      </c>
      <c r="C134" s="17" t="s">
        <v>39</v>
      </c>
      <c r="D134" s="47" t="s">
        <v>196</v>
      </c>
      <c r="E134" s="15">
        <v>1</v>
      </c>
      <c r="F134" s="19">
        <v>1000</v>
      </c>
    </row>
    <row r="135" spans="2:6" ht="25.5" customHeight="1">
      <c r="B135" s="15">
        <v>5</v>
      </c>
      <c r="C135" s="18" t="s">
        <v>46</v>
      </c>
      <c r="D135" s="47" t="s">
        <v>196</v>
      </c>
      <c r="E135" s="15">
        <v>1</v>
      </c>
      <c r="F135" s="19">
        <v>0</v>
      </c>
    </row>
    <row r="136" spans="2:6" ht="24.6">
      <c r="B136" s="15">
        <v>6</v>
      </c>
      <c r="C136" s="307" t="s">
        <v>1539</v>
      </c>
      <c r="D136" s="47" t="s">
        <v>196</v>
      </c>
      <c r="E136" s="15">
        <v>2</v>
      </c>
      <c r="F136" s="19">
        <v>5000</v>
      </c>
    </row>
    <row r="137" spans="2:6" ht="24.6">
      <c r="B137" s="78">
        <v>7</v>
      </c>
      <c r="C137" s="82" t="s">
        <v>140</v>
      </c>
      <c r="D137" s="47" t="s">
        <v>196</v>
      </c>
      <c r="E137" s="78"/>
      <c r="F137" s="80">
        <f>SUM(F138:F139)</f>
        <v>40000</v>
      </c>
    </row>
    <row r="138" spans="2:6">
      <c r="B138" s="76" t="s">
        <v>143</v>
      </c>
      <c r="C138" s="17" t="s">
        <v>142</v>
      </c>
      <c r="D138" s="233" t="s">
        <v>127</v>
      </c>
      <c r="E138" s="73">
        <v>2</v>
      </c>
      <c r="F138" s="74">
        <v>40000</v>
      </c>
    </row>
    <row r="139" spans="2:6" ht="28.2" hidden="1">
      <c r="B139" s="76" t="s">
        <v>153</v>
      </c>
      <c r="C139" s="20" t="s">
        <v>154</v>
      </c>
      <c r="D139" s="173" t="s">
        <v>127</v>
      </c>
      <c r="E139" s="73">
        <v>1</v>
      </c>
      <c r="F139" s="74">
        <v>0</v>
      </c>
    </row>
    <row r="140" spans="2:6" ht="18.45" customHeight="1">
      <c r="B140" s="81" t="s">
        <v>183</v>
      </c>
      <c r="C140" s="20" t="s">
        <v>184</v>
      </c>
      <c r="D140" s="47" t="s">
        <v>196</v>
      </c>
      <c r="E140" s="73">
        <v>3</v>
      </c>
      <c r="F140" s="74">
        <v>4000</v>
      </c>
    </row>
    <row r="141" spans="2:6" ht="24.6">
      <c r="B141" s="81" t="s">
        <v>185</v>
      </c>
      <c r="C141" s="20" t="s">
        <v>186</v>
      </c>
      <c r="D141" s="47" t="s">
        <v>196</v>
      </c>
      <c r="E141" s="73">
        <v>2</v>
      </c>
      <c r="F141" s="74">
        <v>5000</v>
      </c>
    </row>
    <row r="142" spans="2:6" ht="28.2" hidden="1">
      <c r="B142" s="81" t="s">
        <v>191</v>
      </c>
      <c r="C142" s="20" t="s">
        <v>192</v>
      </c>
      <c r="D142" s="47" t="s">
        <v>196</v>
      </c>
      <c r="E142" s="73">
        <v>3</v>
      </c>
      <c r="F142" s="74">
        <v>0</v>
      </c>
    </row>
    <row r="143" spans="2:6" ht="24.6" hidden="1">
      <c r="B143" s="81" t="s">
        <v>193</v>
      </c>
      <c r="C143" s="20" t="s">
        <v>194</v>
      </c>
      <c r="D143" s="47" t="s">
        <v>196</v>
      </c>
      <c r="E143" s="73">
        <v>1</v>
      </c>
      <c r="F143" s="74">
        <v>0</v>
      </c>
    </row>
    <row r="144" spans="2:6" ht="24.6" hidden="1">
      <c r="B144" s="81" t="s">
        <v>123</v>
      </c>
      <c r="C144" s="20" t="s">
        <v>195</v>
      </c>
      <c r="D144" s="47" t="s">
        <v>196</v>
      </c>
      <c r="E144" s="73">
        <v>3</v>
      </c>
      <c r="F144" s="74">
        <v>0</v>
      </c>
    </row>
    <row r="145" spans="2:6">
      <c r="B145" s="71"/>
      <c r="C145" s="70" t="s">
        <v>26</v>
      </c>
      <c r="D145" s="234"/>
      <c r="E145" s="71" t="s">
        <v>5</v>
      </c>
      <c r="F145" s="72">
        <f>SUM(F131:F144)</f>
        <v>100000</v>
      </c>
    </row>
    <row r="163" spans="2:5">
      <c r="B163" s="321" t="s">
        <v>48</v>
      </c>
      <c r="C163" s="321"/>
      <c r="D163" s="321"/>
      <c r="E163" s="321"/>
    </row>
    <row r="164" spans="2:5">
      <c r="B164" s="12"/>
      <c r="C164" s="12"/>
      <c r="D164" s="12"/>
      <c r="E164" s="12"/>
    </row>
    <row r="165" spans="2:5">
      <c r="B165" s="12"/>
      <c r="C165" s="12"/>
      <c r="D165" s="12"/>
      <c r="E165" s="12"/>
    </row>
    <row r="166" spans="2:5" ht="21.6">
      <c r="B166" s="218" t="s">
        <v>2</v>
      </c>
      <c r="C166" s="218" t="s">
        <v>34</v>
      </c>
      <c r="D166" s="216" t="s">
        <v>35</v>
      </c>
      <c r="E166" s="216" t="s">
        <v>36</v>
      </c>
    </row>
    <row r="167" spans="2:5">
      <c r="B167" s="218">
        <v>1</v>
      </c>
      <c r="C167" s="218">
        <v>2</v>
      </c>
      <c r="D167" s="216">
        <v>3</v>
      </c>
      <c r="E167" s="216">
        <v>4</v>
      </c>
    </row>
    <row r="168" spans="2:5" hidden="1">
      <c r="B168" s="15">
        <v>1</v>
      </c>
      <c r="C168" s="16" t="s">
        <v>52</v>
      </c>
      <c r="D168" s="15">
        <v>1</v>
      </c>
      <c r="E168" s="19">
        <v>0</v>
      </c>
    </row>
    <row r="169" spans="2:5" ht="27.75" customHeight="1">
      <c r="B169" s="78">
        <v>2</v>
      </c>
      <c r="C169" s="79" t="s">
        <v>171</v>
      </c>
      <c r="D169" s="78"/>
      <c r="E169" s="80">
        <f>SUM(E170:E177)</f>
        <v>30000</v>
      </c>
    </row>
    <row r="170" spans="2:5">
      <c r="B170" s="76" t="s">
        <v>14</v>
      </c>
      <c r="C170" s="20" t="s">
        <v>175</v>
      </c>
      <c r="D170" s="73">
        <v>1</v>
      </c>
      <c r="E170" s="74">
        <v>0</v>
      </c>
    </row>
    <row r="171" spans="2:5">
      <c r="B171" s="83" t="s">
        <v>16</v>
      </c>
      <c r="C171" s="17" t="s">
        <v>172</v>
      </c>
      <c r="D171" s="15">
        <v>4</v>
      </c>
      <c r="E171" s="19">
        <v>10000</v>
      </c>
    </row>
    <row r="172" spans="2:5">
      <c r="B172" s="83" t="s">
        <v>18</v>
      </c>
      <c r="C172" s="18" t="s">
        <v>173</v>
      </c>
      <c r="D172" s="15">
        <v>1</v>
      </c>
      <c r="E172" s="19">
        <v>0</v>
      </c>
    </row>
    <row r="173" spans="2:5">
      <c r="B173" s="83" t="s">
        <v>19</v>
      </c>
      <c r="C173" s="16" t="s">
        <v>174</v>
      </c>
      <c r="D173" s="15">
        <v>2</v>
      </c>
      <c r="E173" s="19">
        <f>10000</f>
        <v>10000</v>
      </c>
    </row>
    <row r="174" spans="2:5">
      <c r="B174" s="83" t="s">
        <v>23</v>
      </c>
      <c r="C174" s="16" t="s">
        <v>176</v>
      </c>
      <c r="D174" s="15">
        <v>1</v>
      </c>
      <c r="E174" s="19">
        <v>0</v>
      </c>
    </row>
    <row r="175" spans="2:5">
      <c r="B175" s="83" t="s">
        <v>177</v>
      </c>
      <c r="C175" s="16" t="s">
        <v>178</v>
      </c>
      <c r="D175" s="15">
        <v>1</v>
      </c>
      <c r="E175" s="19">
        <v>0</v>
      </c>
    </row>
    <row r="176" spans="2:5">
      <c r="B176" s="83" t="s">
        <v>179</v>
      </c>
      <c r="C176" s="16" t="s">
        <v>180</v>
      </c>
      <c r="D176" s="15">
        <v>1</v>
      </c>
      <c r="E176" s="19">
        <v>0</v>
      </c>
    </row>
    <row r="177" spans="2:5">
      <c r="B177" s="83" t="s">
        <v>181</v>
      </c>
      <c r="C177" s="16" t="s">
        <v>182</v>
      </c>
      <c r="D177" s="15">
        <v>1</v>
      </c>
      <c r="E177" s="19">
        <v>10000</v>
      </c>
    </row>
    <row r="178" spans="2:5">
      <c r="B178" s="77" t="s">
        <v>24</v>
      </c>
      <c r="C178" s="16" t="s">
        <v>187</v>
      </c>
      <c r="D178" s="15">
        <v>2</v>
      </c>
      <c r="E178" s="19">
        <v>5000</v>
      </c>
    </row>
    <row r="179" spans="2:5">
      <c r="B179" s="77" t="s">
        <v>81</v>
      </c>
      <c r="C179" s="18" t="s">
        <v>881</v>
      </c>
      <c r="D179" s="15">
        <v>1</v>
      </c>
      <c r="E179" s="19">
        <f>50000</f>
        <v>50000</v>
      </c>
    </row>
    <row r="180" spans="2:5" ht="13.2" customHeight="1">
      <c r="B180" s="77" t="s">
        <v>126</v>
      </c>
      <c r="C180" s="18" t="s">
        <v>189</v>
      </c>
      <c r="D180" s="15">
        <v>2</v>
      </c>
      <c r="E180" s="19">
        <v>15000</v>
      </c>
    </row>
    <row r="181" spans="2:5">
      <c r="B181" s="69"/>
      <c r="C181" s="70" t="s">
        <v>26</v>
      </c>
      <c r="D181" s="71" t="s">
        <v>5</v>
      </c>
      <c r="E181" s="72">
        <f>E168+E169+E178+E179+E180</f>
        <v>100000</v>
      </c>
    </row>
    <row r="194" spans="2:6">
      <c r="B194" s="321" t="s">
        <v>56</v>
      </c>
      <c r="C194" s="321"/>
      <c r="D194" s="321"/>
      <c r="E194" s="321"/>
      <c r="F194" s="321"/>
    </row>
    <row r="195" spans="2:6">
      <c r="B195" s="12"/>
      <c r="C195" s="12"/>
      <c r="D195" s="12"/>
      <c r="E195" s="12"/>
      <c r="F195" s="12"/>
    </row>
    <row r="196" spans="2:6">
      <c r="B196" s="12"/>
      <c r="C196" s="12"/>
      <c r="D196" s="12"/>
      <c r="E196" s="12"/>
      <c r="F196" s="12"/>
    </row>
    <row r="197" spans="2:6" ht="21.6">
      <c r="B197" s="218" t="s">
        <v>2</v>
      </c>
      <c r="C197" s="218" t="s">
        <v>34</v>
      </c>
      <c r="D197" s="218" t="s">
        <v>53</v>
      </c>
      <c r="E197" s="216" t="s">
        <v>54</v>
      </c>
      <c r="F197" s="216" t="s">
        <v>55</v>
      </c>
    </row>
    <row r="198" spans="2:6">
      <c r="B198" s="218"/>
      <c r="C198" s="218">
        <v>1</v>
      </c>
      <c r="D198" s="218">
        <v>2</v>
      </c>
      <c r="E198" s="216">
        <v>3</v>
      </c>
      <c r="F198" s="218">
        <v>4</v>
      </c>
    </row>
    <row r="199" spans="2:6">
      <c r="B199" s="15">
        <v>1</v>
      </c>
      <c r="C199" s="16" t="s">
        <v>882</v>
      </c>
      <c r="D199" s="16"/>
      <c r="E199" s="15"/>
      <c r="F199" s="19">
        <v>192000</v>
      </c>
    </row>
    <row r="200" spans="2:6">
      <c r="B200" s="15">
        <v>2</v>
      </c>
      <c r="C200" s="16" t="s">
        <v>883</v>
      </c>
      <c r="D200" s="16"/>
      <c r="E200" s="15"/>
      <c r="F200" s="19">
        <f>15000</f>
        <v>15000</v>
      </c>
    </row>
    <row r="201" spans="2:6" ht="33.75" customHeight="1">
      <c r="B201" s="15">
        <v>3</v>
      </c>
      <c r="C201" s="18" t="s">
        <v>884</v>
      </c>
      <c r="D201" s="18"/>
      <c r="E201" s="15"/>
      <c r="F201" s="19">
        <v>220000</v>
      </c>
    </row>
    <row r="202" spans="2:6">
      <c r="B202" s="15">
        <v>4</v>
      </c>
      <c r="C202" s="16" t="s">
        <v>885</v>
      </c>
      <c r="D202" s="16"/>
      <c r="E202" s="15"/>
      <c r="F202" s="19">
        <v>20000</v>
      </c>
    </row>
    <row r="203" spans="2:6">
      <c r="B203" s="15">
        <v>5</v>
      </c>
      <c r="C203" s="16" t="s">
        <v>886</v>
      </c>
      <c r="D203" s="16"/>
      <c r="E203" s="15"/>
      <c r="F203" s="19">
        <v>0</v>
      </c>
    </row>
    <row r="204" spans="2:6">
      <c r="B204" s="15">
        <v>6</v>
      </c>
      <c r="C204" s="16" t="s">
        <v>887</v>
      </c>
      <c r="D204" s="16"/>
      <c r="E204" s="15"/>
      <c r="F204" s="19">
        <v>20000</v>
      </c>
    </row>
    <row r="205" spans="2:6">
      <c r="B205" s="15">
        <v>7</v>
      </c>
      <c r="C205" s="16" t="s">
        <v>888</v>
      </c>
      <c r="D205" s="16"/>
      <c r="E205" s="15"/>
      <c r="F205" s="19">
        <v>0</v>
      </c>
    </row>
    <row r="206" spans="2:6">
      <c r="B206" s="15"/>
      <c r="C206" s="16"/>
      <c r="D206" s="16"/>
      <c r="E206" s="15"/>
      <c r="F206" s="19"/>
    </row>
    <row r="207" spans="2:6">
      <c r="B207" s="15"/>
      <c r="C207" s="16"/>
      <c r="D207" s="16"/>
      <c r="E207" s="15"/>
      <c r="F207" s="19"/>
    </row>
    <row r="208" spans="2:6">
      <c r="B208" s="69"/>
      <c r="C208" s="70" t="s">
        <v>26</v>
      </c>
      <c r="D208" s="70"/>
      <c r="E208" s="71" t="s">
        <v>5</v>
      </c>
      <c r="F208" s="72">
        <f>SUM(F199:F207)</f>
        <v>467000</v>
      </c>
    </row>
  </sheetData>
  <mergeCells count="10">
    <mergeCell ref="C98:G98"/>
    <mergeCell ref="B126:F126"/>
    <mergeCell ref="B163:E163"/>
    <mergeCell ref="B194:F194"/>
    <mergeCell ref="D72:F72"/>
    <mergeCell ref="B1:G1"/>
    <mergeCell ref="B24:E24"/>
    <mergeCell ref="C40:E40"/>
    <mergeCell ref="C43:F43"/>
    <mergeCell ref="B69:F69"/>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dimension ref="A1:L82"/>
  <sheetViews>
    <sheetView topLeftCell="A41" workbookViewId="0">
      <selection activeCell="F81" sqref="F81"/>
    </sheetView>
  </sheetViews>
  <sheetFormatPr defaultRowHeight="14.4"/>
  <cols>
    <col min="1" max="1" width="6.6640625" customWidth="1"/>
    <col min="2" max="2" width="4.88671875" customWidth="1"/>
    <col min="3" max="3" width="22.6640625" customWidth="1"/>
    <col min="4" max="4" width="14.109375" customWidth="1"/>
    <col min="5" max="5" width="11.6640625" customWidth="1"/>
    <col min="6" max="6" width="11.44140625" customWidth="1"/>
    <col min="7" max="7" width="11.5546875" customWidth="1"/>
    <col min="8" max="8" width="11.44140625" customWidth="1"/>
    <col min="9" max="9" width="13.5546875" customWidth="1"/>
    <col min="10" max="10" width="14.88671875" customWidth="1"/>
    <col min="11" max="11" width="18.109375" customWidth="1"/>
  </cols>
  <sheetData>
    <row r="1" spans="2:11" hidden="1"/>
    <row r="2" spans="2:11" ht="15.6" hidden="1">
      <c r="B2" s="320" t="s">
        <v>108</v>
      </c>
      <c r="C2" s="320"/>
      <c r="D2" s="320"/>
      <c r="E2" s="320"/>
      <c r="F2" s="320"/>
      <c r="G2" s="320"/>
      <c r="H2" s="320"/>
      <c r="I2" s="320"/>
      <c r="J2" s="320"/>
      <c r="K2" s="320"/>
    </row>
    <row r="3" spans="2:11" ht="15.6" hidden="1">
      <c r="B3" s="13"/>
      <c r="C3" s="13"/>
      <c r="D3" s="13"/>
      <c r="E3" s="13"/>
      <c r="F3" s="13"/>
      <c r="G3" s="13"/>
      <c r="H3" s="13"/>
      <c r="I3" s="13"/>
      <c r="J3" s="13"/>
      <c r="K3" s="13"/>
    </row>
    <row r="4" spans="2:11" ht="15.6" hidden="1">
      <c r="B4" s="59" t="s">
        <v>826</v>
      </c>
      <c r="C4" s="59"/>
      <c r="D4" s="59"/>
      <c r="E4" s="168"/>
      <c r="F4" s="13"/>
      <c r="G4" s="13"/>
      <c r="H4" s="13"/>
      <c r="I4" s="13"/>
      <c r="J4" s="13"/>
      <c r="K4" s="13"/>
    </row>
    <row r="5" spans="2:11" ht="15.6" hidden="1">
      <c r="B5" s="59" t="s">
        <v>828</v>
      </c>
      <c r="C5" s="59"/>
      <c r="D5" s="59"/>
      <c r="E5" s="168" t="s">
        <v>827</v>
      </c>
      <c r="F5" s="13"/>
      <c r="G5" s="13"/>
      <c r="H5" s="13"/>
      <c r="I5" s="13"/>
      <c r="J5" s="13"/>
      <c r="K5" s="13"/>
    </row>
    <row r="6" spans="2:11" ht="15.6" hidden="1">
      <c r="B6" s="13"/>
      <c r="C6" s="13"/>
      <c r="D6" s="13"/>
      <c r="E6" s="13"/>
      <c r="F6" s="13"/>
      <c r="G6" s="13"/>
      <c r="H6" s="13"/>
      <c r="I6" s="13"/>
      <c r="J6" s="13"/>
      <c r="K6" s="13"/>
    </row>
    <row r="7" spans="2:11" ht="15.6" hidden="1">
      <c r="B7" s="320" t="s">
        <v>773</v>
      </c>
      <c r="C7" s="320"/>
      <c r="D7" s="320"/>
      <c r="E7" s="320"/>
      <c r="F7" s="320"/>
      <c r="G7" s="320"/>
      <c r="H7" s="320"/>
      <c r="I7" s="320"/>
      <c r="J7" s="320"/>
      <c r="K7" s="320"/>
    </row>
    <row r="8" spans="2:11" ht="15.6" hidden="1">
      <c r="B8" s="13"/>
      <c r="C8" s="13"/>
      <c r="D8" s="13"/>
      <c r="E8" s="13"/>
      <c r="F8" s="13"/>
      <c r="G8" s="13"/>
      <c r="H8" s="13"/>
      <c r="I8" s="13"/>
      <c r="J8" s="13"/>
      <c r="K8" s="13"/>
    </row>
    <row r="9" spans="2:11" s="57" customFormat="1" ht="20.25" hidden="1" customHeight="1">
      <c r="B9" s="314" t="s">
        <v>2</v>
      </c>
      <c r="C9" s="314" t="s">
        <v>110</v>
      </c>
      <c r="D9" s="314" t="s">
        <v>111</v>
      </c>
      <c r="E9" s="314" t="s">
        <v>112</v>
      </c>
      <c r="F9" s="314"/>
      <c r="G9" s="314"/>
      <c r="H9" s="314"/>
      <c r="I9" s="315" t="s">
        <v>119</v>
      </c>
      <c r="J9" s="315" t="s">
        <v>113</v>
      </c>
      <c r="K9" s="315" t="s">
        <v>120</v>
      </c>
    </row>
    <row r="10" spans="2:11" s="57" customFormat="1" ht="9.6" hidden="1">
      <c r="B10" s="314"/>
      <c r="C10" s="314"/>
      <c r="D10" s="314"/>
      <c r="E10" s="314" t="s">
        <v>114</v>
      </c>
      <c r="F10" s="318" t="s">
        <v>115</v>
      </c>
      <c r="G10" s="318"/>
      <c r="H10" s="318"/>
      <c r="I10" s="316"/>
      <c r="J10" s="316"/>
      <c r="K10" s="316"/>
    </row>
    <row r="11" spans="2:11" s="58" customFormat="1" ht="34.65" hidden="1" customHeight="1">
      <c r="B11" s="314"/>
      <c r="C11" s="314"/>
      <c r="D11" s="314"/>
      <c r="E11" s="314"/>
      <c r="F11" s="2" t="s">
        <v>116</v>
      </c>
      <c r="G11" s="2" t="s">
        <v>117</v>
      </c>
      <c r="H11" s="2" t="s">
        <v>118</v>
      </c>
      <c r="I11" s="317"/>
      <c r="J11" s="317"/>
      <c r="K11" s="317"/>
    </row>
    <row r="12" spans="2:11" s="54" customFormat="1" ht="10.5" hidden="1" customHeight="1">
      <c r="B12" s="55">
        <v>1</v>
      </c>
      <c r="C12" s="55">
        <v>2</v>
      </c>
      <c r="D12" s="55">
        <v>3</v>
      </c>
      <c r="E12" s="55">
        <v>4</v>
      </c>
      <c r="F12" s="55">
        <v>5</v>
      </c>
      <c r="G12" s="55">
        <v>6</v>
      </c>
      <c r="H12" s="55">
        <v>7</v>
      </c>
      <c r="I12" s="55">
        <v>8</v>
      </c>
      <c r="J12" s="55">
        <v>9</v>
      </c>
      <c r="K12" s="55">
        <v>10</v>
      </c>
    </row>
    <row r="13" spans="2:11" ht="15.6" hidden="1">
      <c r="B13" s="5">
        <v>1</v>
      </c>
      <c r="C13" s="5" t="s">
        <v>198</v>
      </c>
      <c r="D13" s="5">
        <v>109.75</v>
      </c>
      <c r="E13" s="5"/>
      <c r="F13" s="5">
        <v>1013803.92</v>
      </c>
      <c r="G13" s="5">
        <f>54478.69+198178.24+94511.26+10875.27</f>
        <v>358043.46</v>
      </c>
      <c r="H13" s="5"/>
      <c r="I13" s="5">
        <v>411554.21</v>
      </c>
      <c r="J13" s="5">
        <v>411554.21</v>
      </c>
      <c r="K13" s="5"/>
    </row>
    <row r="14" spans="2:11" ht="15.6" hidden="1">
      <c r="B14" s="5"/>
      <c r="C14" s="5"/>
      <c r="D14" s="5"/>
      <c r="E14" s="5"/>
      <c r="F14" s="5"/>
      <c r="G14" s="5"/>
      <c r="H14" s="11">
        <v>191164.14</v>
      </c>
      <c r="I14" s="11">
        <f>H14*0.3</f>
        <v>57349.242000000006</v>
      </c>
      <c r="J14" s="11">
        <f>H14*0.3</f>
        <v>57349.242000000006</v>
      </c>
      <c r="K14" s="5"/>
    </row>
    <row r="15" spans="2:11" ht="15.6" hidden="1">
      <c r="B15" s="5"/>
      <c r="C15" s="5"/>
      <c r="D15" s="5"/>
      <c r="E15" s="5"/>
      <c r="F15" s="5"/>
      <c r="G15" s="5"/>
      <c r="H15" s="11">
        <f>(5118215.33/12)</f>
        <v>426517.94416666665</v>
      </c>
      <c r="I15" s="11">
        <f>H15*0.3</f>
        <v>127955.38324999998</v>
      </c>
      <c r="J15" s="11">
        <f>H15*0.3</f>
        <v>127955.38324999998</v>
      </c>
      <c r="K15" s="5"/>
    </row>
    <row r="16" spans="2:11" ht="15.6" hidden="1">
      <c r="B16" s="5"/>
      <c r="C16" s="5" t="s">
        <v>200</v>
      </c>
      <c r="D16" s="5"/>
      <c r="E16" s="5"/>
      <c r="F16" s="5">
        <f t="shared" ref="F16:J16" si="0">SUM(F12:F15)</f>
        <v>1013808.92</v>
      </c>
      <c r="G16" s="5">
        <f t="shared" si="0"/>
        <v>358049.46</v>
      </c>
      <c r="H16" s="11">
        <f t="shared" si="0"/>
        <v>617689.08416666673</v>
      </c>
      <c r="I16" s="11">
        <f t="shared" si="0"/>
        <v>596866.83525</v>
      </c>
      <c r="J16" s="11">
        <f t="shared" si="0"/>
        <v>596867.83525</v>
      </c>
      <c r="K16" s="11">
        <f>(F16+G16+H16+I16+J16)*12</f>
        <v>38199385.616000004</v>
      </c>
    </row>
    <row r="17" spans="2:11" ht="15.6" hidden="1">
      <c r="B17" s="35"/>
      <c r="C17" s="35" t="s">
        <v>203</v>
      </c>
      <c r="D17" s="35"/>
      <c r="E17" s="35"/>
      <c r="F17" s="35">
        <f>F16*L37</f>
        <v>1406839.8109820853</v>
      </c>
      <c r="G17" s="35">
        <f>G16*L37</f>
        <v>496857.173666057</v>
      </c>
      <c r="H17" s="62">
        <f>H16*L37</f>
        <v>857153.23397897382</v>
      </c>
      <c r="I17" s="62">
        <f>I16*L37</f>
        <v>828258.66799888224</v>
      </c>
      <c r="J17" s="62">
        <f>J16*L37</f>
        <v>828260.05567636585</v>
      </c>
      <c r="K17" s="62">
        <f>(F17+G17+H17+I17+J17)*12</f>
        <v>53008427.307628378</v>
      </c>
    </row>
    <row r="18" spans="2:11" ht="15.6" hidden="1">
      <c r="B18" s="5"/>
      <c r="C18" s="5"/>
      <c r="D18" s="5"/>
      <c r="E18" s="5"/>
      <c r="F18" s="5"/>
      <c r="G18" s="5"/>
      <c r="H18" s="11"/>
      <c r="I18" s="11"/>
      <c r="J18" s="11"/>
      <c r="K18" s="5"/>
    </row>
    <row r="19" spans="2:11" ht="15.6" hidden="1">
      <c r="B19" s="5">
        <v>2</v>
      </c>
      <c r="C19" s="5" t="s">
        <v>199</v>
      </c>
      <c r="D19" s="5">
        <v>293.5</v>
      </c>
      <c r="E19" s="5"/>
      <c r="F19" s="5">
        <v>1939934.62</v>
      </c>
      <c r="G19" s="5">
        <f>104294.62+377747.87+288991.29+40659.84</f>
        <v>811693.62</v>
      </c>
      <c r="H19" s="11"/>
      <c r="I19" s="11">
        <v>825488.47</v>
      </c>
      <c r="J19" s="11">
        <v>825488.47</v>
      </c>
      <c r="K19" s="5"/>
    </row>
    <row r="20" spans="2:11" ht="15.6" hidden="1">
      <c r="B20" s="5"/>
      <c r="C20" s="5"/>
      <c r="D20" s="5"/>
      <c r="E20" s="5"/>
      <c r="F20" s="5"/>
      <c r="G20" s="5"/>
      <c r="H20" s="11">
        <v>392745.68</v>
      </c>
      <c r="I20" s="11">
        <f>H20*0.3</f>
        <v>117823.704</v>
      </c>
      <c r="J20" s="11">
        <f>H20*0.3</f>
        <v>117823.704</v>
      </c>
      <c r="K20" s="5"/>
    </row>
    <row r="21" spans="2:11" ht="15.6" hidden="1">
      <c r="B21" s="5"/>
      <c r="C21" s="5"/>
      <c r="D21" s="5"/>
      <c r="E21" s="5"/>
      <c r="F21" s="5"/>
      <c r="G21" s="5"/>
      <c r="H21" s="11">
        <v>215195.7</v>
      </c>
      <c r="I21" s="11">
        <f>H21*0.3</f>
        <v>64558.71</v>
      </c>
      <c r="J21" s="11">
        <f>H21*0.3</f>
        <v>64558.71</v>
      </c>
      <c r="K21" s="5"/>
    </row>
    <row r="22" spans="2:11" ht="15.6" hidden="1">
      <c r="B22" s="5"/>
      <c r="C22" s="5" t="s">
        <v>200</v>
      </c>
      <c r="D22" s="5"/>
      <c r="E22" s="5"/>
      <c r="F22" s="5">
        <f t="shared" ref="F22:J22" si="1">SUM(F19:F21)</f>
        <v>1939934.62</v>
      </c>
      <c r="G22" s="5">
        <f t="shared" si="1"/>
        <v>811693.62</v>
      </c>
      <c r="H22" s="11">
        <f t="shared" si="1"/>
        <v>607941.38</v>
      </c>
      <c r="I22" s="11">
        <f t="shared" si="1"/>
        <v>1007870.884</v>
      </c>
      <c r="J22" s="11">
        <f t="shared" si="1"/>
        <v>1007870.884</v>
      </c>
      <c r="K22" s="11">
        <f>(F22+G22+H22+I22+J22)*12</f>
        <v>64503736.655999988</v>
      </c>
    </row>
    <row r="23" spans="2:11" ht="15.6" hidden="1">
      <c r="B23" s="5"/>
      <c r="C23" s="35" t="s">
        <v>203</v>
      </c>
      <c r="D23" s="35"/>
      <c r="E23" s="35"/>
      <c r="F23" s="35">
        <f>F22*L37</f>
        <v>2692003.5918784412</v>
      </c>
      <c r="G23" s="62">
        <f>G22*L37</f>
        <v>1126368.9600759919</v>
      </c>
      <c r="H23" s="62">
        <f>H22*L37</f>
        <v>843626.56438985362</v>
      </c>
      <c r="I23" s="62">
        <f>I22*L37</f>
        <v>1398599.732127931</v>
      </c>
      <c r="J23" s="62">
        <f>J22*L37</f>
        <v>1398599.732127931</v>
      </c>
      <c r="K23" s="62">
        <f>(F23+G23+H23+I23+J23)*12</f>
        <v>89510382.967201784</v>
      </c>
    </row>
    <row r="24" spans="2:11" ht="15.6" hidden="1">
      <c r="B24" s="5"/>
      <c r="C24" s="5"/>
      <c r="D24" s="5"/>
      <c r="E24" s="5"/>
      <c r="F24" s="5"/>
      <c r="G24" s="5"/>
      <c r="H24" s="11"/>
      <c r="I24" s="11"/>
      <c r="J24" s="11"/>
      <c r="K24" s="5"/>
    </row>
    <row r="25" spans="2:11" ht="15.6" hidden="1">
      <c r="B25" s="5">
        <v>3</v>
      </c>
      <c r="C25" s="5" t="s">
        <v>201</v>
      </c>
      <c r="D25" s="5">
        <v>68.5</v>
      </c>
      <c r="E25" s="5"/>
      <c r="F25" s="5">
        <v>292389.3</v>
      </c>
      <c r="G25" s="5">
        <f>27830.82+67238.83+73883.29+13244.13</f>
        <v>182197.07</v>
      </c>
      <c r="H25" s="11"/>
      <c r="I25" s="11">
        <v>142375.91</v>
      </c>
      <c r="J25" s="11">
        <v>142375.91</v>
      </c>
      <c r="K25" s="5"/>
    </row>
    <row r="26" spans="2:11" ht="15.6" hidden="1">
      <c r="B26" s="5"/>
      <c r="C26" s="5"/>
      <c r="D26" s="5"/>
      <c r="E26" s="5"/>
      <c r="F26" s="5"/>
      <c r="G26" s="5"/>
      <c r="H26" s="11">
        <v>65963.67</v>
      </c>
      <c r="I26" s="11">
        <f>H26*0.3</f>
        <v>19789.100999999999</v>
      </c>
      <c r="J26" s="11">
        <f>H26*0.3</f>
        <v>19789.100999999999</v>
      </c>
      <c r="K26" s="5"/>
    </row>
    <row r="27" spans="2:11" ht="15.6" hidden="1">
      <c r="B27" s="5"/>
      <c r="C27" s="5" t="s">
        <v>200</v>
      </c>
      <c r="D27" s="5"/>
      <c r="E27" s="5"/>
      <c r="F27" s="5">
        <f t="shared" ref="F27:J27" si="2">SUM(F25:F26)</f>
        <v>292389.3</v>
      </c>
      <c r="G27" s="5">
        <f t="shared" si="2"/>
        <v>182197.07</v>
      </c>
      <c r="H27" s="11">
        <f t="shared" si="2"/>
        <v>65963.67</v>
      </c>
      <c r="I27" s="11">
        <f t="shared" si="2"/>
        <v>162165.011</v>
      </c>
      <c r="J27" s="11">
        <f t="shared" si="2"/>
        <v>162165.011</v>
      </c>
      <c r="K27" s="11">
        <f>(F27+G27+H27+I27+J27)*12</f>
        <v>10378560.743999999</v>
      </c>
    </row>
    <row r="28" spans="2:11" ht="15.6" hidden="1">
      <c r="B28" s="5"/>
      <c r="C28" s="35" t="s">
        <v>203</v>
      </c>
      <c r="D28" s="35"/>
      <c r="E28" s="35"/>
      <c r="F28" s="35">
        <f>F27*L37</f>
        <v>405742.04806284816</v>
      </c>
      <c r="G28" s="35">
        <f>G27*L37</f>
        <v>252830.77162143114</v>
      </c>
      <c r="H28" s="62">
        <f>H27*L37</f>
        <v>91536.299596263794</v>
      </c>
      <c r="I28" s="62">
        <f>I27*L37</f>
        <v>225032.73439648544</v>
      </c>
      <c r="J28" s="62">
        <f>J27*L37</f>
        <v>225032.73439648544</v>
      </c>
      <c r="K28" s="62">
        <f>(F28+G28+H28+I28+J28)*12</f>
        <v>14402095.056882167</v>
      </c>
    </row>
    <row r="29" spans="2:11" ht="15.6" hidden="1">
      <c r="B29" s="5"/>
      <c r="C29" s="5"/>
      <c r="D29" s="5"/>
      <c r="E29" s="5"/>
      <c r="F29" s="5"/>
      <c r="G29" s="5"/>
      <c r="H29" s="11"/>
      <c r="I29" s="11"/>
      <c r="J29" s="11"/>
      <c r="K29" s="5"/>
    </row>
    <row r="30" spans="2:11" ht="15.6" hidden="1">
      <c r="B30" s="5">
        <v>4</v>
      </c>
      <c r="C30" s="5" t="s">
        <v>202</v>
      </c>
      <c r="D30" s="5">
        <v>163.75</v>
      </c>
      <c r="E30" s="5"/>
      <c r="F30" s="5">
        <v>868635.4</v>
      </c>
      <c r="G30" s="5">
        <f>8206.75+188261.31+52285.46+15024.19</f>
        <v>263777.70999999996</v>
      </c>
      <c r="H30" s="5"/>
      <c r="I30" s="5">
        <v>339723.93</v>
      </c>
      <c r="J30" s="5">
        <v>339723.93</v>
      </c>
      <c r="K30" s="5"/>
    </row>
    <row r="31" spans="2:11" ht="15.6" hidden="1">
      <c r="B31" s="5"/>
      <c r="C31" s="5"/>
      <c r="D31" s="5"/>
      <c r="E31" s="5"/>
      <c r="F31" s="5"/>
      <c r="G31" s="5"/>
      <c r="H31" s="5">
        <v>119965.2</v>
      </c>
      <c r="I31" s="5">
        <f>H31*0.3</f>
        <v>35989.56</v>
      </c>
      <c r="J31" s="5">
        <f>H31*0.3</f>
        <v>35989.56</v>
      </c>
      <c r="K31" s="5"/>
    </row>
    <row r="32" spans="2:11" ht="15.6" hidden="1">
      <c r="B32" s="5"/>
      <c r="C32" s="5"/>
      <c r="D32" s="5"/>
      <c r="E32" s="5"/>
      <c r="F32" s="5"/>
      <c r="G32" s="5"/>
      <c r="H32" s="5">
        <v>25536.59</v>
      </c>
      <c r="I32" s="11">
        <f>H32*0.3</f>
        <v>7660.9769999999999</v>
      </c>
      <c r="J32" s="11">
        <f>H32*0.3</f>
        <v>7660.9769999999999</v>
      </c>
      <c r="K32" s="5"/>
    </row>
    <row r="33" spans="1:12" ht="15.6" hidden="1">
      <c r="B33" s="5"/>
      <c r="C33" s="5" t="s">
        <v>200</v>
      </c>
      <c r="D33" s="5"/>
      <c r="E33" s="5"/>
      <c r="F33" s="5">
        <f t="shared" ref="F33:J33" si="3">SUM(F30:F32)</f>
        <v>868635.4</v>
      </c>
      <c r="G33" s="5">
        <f t="shared" si="3"/>
        <v>263777.70999999996</v>
      </c>
      <c r="H33" s="5">
        <f t="shared" si="3"/>
        <v>145501.79</v>
      </c>
      <c r="I33" s="11">
        <f t="shared" si="3"/>
        <v>383374.467</v>
      </c>
      <c r="J33" s="11">
        <f t="shared" si="3"/>
        <v>383374.467</v>
      </c>
      <c r="K33" s="11">
        <f>(F33+G33+H33+I33+J33)*12</f>
        <v>24535966.007999998</v>
      </c>
    </row>
    <row r="34" spans="1:12" ht="15.6" hidden="1">
      <c r="B34" s="5"/>
      <c r="C34" s="35" t="s">
        <v>203</v>
      </c>
      <c r="D34" s="35"/>
      <c r="E34" s="35"/>
      <c r="F34" s="35">
        <f>F33*L37</f>
        <v>1205385.7860595151</v>
      </c>
      <c r="G34" s="35">
        <f>G33*L37</f>
        <v>366038.38884914055</v>
      </c>
      <c r="H34" s="62">
        <f>H33*L37</f>
        <v>201909.55781011973</v>
      </c>
      <c r="I34" s="62">
        <f>I33*L37</f>
        <v>532000.11565260019</v>
      </c>
      <c r="J34" s="62">
        <f>J33*L37</f>
        <v>532000.11565260019</v>
      </c>
      <c r="K34" s="62">
        <f>(F34+G34+H34+I34+J34)*12</f>
        <v>34048007.568287715</v>
      </c>
    </row>
    <row r="35" spans="1:12" ht="15.6" hidden="1">
      <c r="B35" s="5"/>
      <c r="C35" s="5" t="s">
        <v>200</v>
      </c>
      <c r="D35" s="5"/>
      <c r="E35" s="5"/>
      <c r="F35" s="5"/>
      <c r="G35" s="5"/>
      <c r="H35" s="5"/>
      <c r="I35" s="5"/>
      <c r="J35" s="5"/>
      <c r="K35" s="11"/>
    </row>
    <row r="36" spans="1:12" ht="15.6" hidden="1">
      <c r="B36" s="5"/>
      <c r="C36" s="35" t="s">
        <v>203</v>
      </c>
      <c r="D36" s="5">
        <f>D13+D19+D25+D30</f>
        <v>635.5</v>
      </c>
      <c r="E36" s="5"/>
      <c r="F36" s="5">
        <f t="shared" ref="F36:K36" si="4">F17+F23+F28+F34</f>
        <v>5709971.2369828895</v>
      </c>
      <c r="G36" s="5">
        <f t="shared" si="4"/>
        <v>2242095.2942126207</v>
      </c>
      <c r="H36" s="5">
        <f t="shared" si="4"/>
        <v>1994225.6557752111</v>
      </c>
      <c r="I36" s="5">
        <f t="shared" si="4"/>
        <v>2983891.2501758989</v>
      </c>
      <c r="J36" s="5">
        <f t="shared" si="4"/>
        <v>2983892.6378533826</v>
      </c>
      <c r="K36" s="11">
        <f t="shared" si="4"/>
        <v>190968912.90000004</v>
      </c>
    </row>
    <row r="37" spans="1:12" s="56" customFormat="1" ht="15.6" hidden="1">
      <c r="B37" s="32"/>
      <c r="C37" s="31" t="s">
        <v>121</v>
      </c>
      <c r="D37" s="32" t="s">
        <v>5</v>
      </c>
      <c r="E37" s="32"/>
      <c r="F37" s="32" t="s">
        <v>5</v>
      </c>
      <c r="G37" s="32" t="s">
        <v>5</v>
      </c>
      <c r="H37" s="32" t="s">
        <v>5</v>
      </c>
      <c r="I37" s="32" t="s">
        <v>5</v>
      </c>
      <c r="J37" s="32" t="s">
        <v>5</v>
      </c>
      <c r="K37" s="34">
        <f>K16+K22+K27+K33</f>
        <v>137617649.02399999</v>
      </c>
      <c r="L37" s="56">
        <f>190968912.9/K37</f>
        <v>1.3876774836249075</v>
      </c>
    </row>
    <row r="38" spans="1:12" ht="15.6" hidden="1">
      <c r="B38" s="13"/>
      <c r="C38" s="13"/>
      <c r="D38" s="13"/>
      <c r="E38" s="13"/>
      <c r="F38" s="13"/>
      <c r="G38" s="13"/>
      <c r="H38" s="13"/>
      <c r="I38" s="13"/>
      <c r="J38" s="13"/>
      <c r="K38" s="13"/>
    </row>
    <row r="39" spans="1:12" ht="15.6" hidden="1">
      <c r="B39" s="13"/>
      <c r="C39" s="13"/>
      <c r="D39" s="13"/>
      <c r="E39" s="13"/>
      <c r="F39" s="13"/>
      <c r="G39" s="13"/>
      <c r="H39" s="13"/>
      <c r="I39" s="13"/>
      <c r="J39" s="13"/>
      <c r="K39" s="13"/>
    </row>
    <row r="40" spans="1:12" hidden="1">
      <c r="K40" s="84" t="e">
        <f>#REF!+#REF!+'ОМС остальное'!E49+#REF!+#REF!+#REF!+#REF!+#REF!+#REF!+#REF!</f>
        <v>#REF!</v>
      </c>
    </row>
    <row r="41" spans="1:12" ht="15.6">
      <c r="B41" s="320" t="s">
        <v>108</v>
      </c>
      <c r="C41" s="320"/>
      <c r="D41" s="320"/>
      <c r="E41" s="320"/>
      <c r="F41" s="320"/>
      <c r="G41" s="320"/>
      <c r="H41" s="320"/>
      <c r="I41" s="320"/>
      <c r="J41" s="320"/>
      <c r="K41" s="320"/>
    </row>
    <row r="42" spans="1:12" ht="15.6">
      <c r="B42" s="13"/>
      <c r="C42" s="13"/>
      <c r="D42" s="13"/>
      <c r="E42" s="13"/>
      <c r="F42" s="13"/>
      <c r="G42" s="13"/>
      <c r="H42" s="13"/>
      <c r="I42" s="13"/>
      <c r="J42" s="13"/>
      <c r="K42" s="13"/>
    </row>
    <row r="43" spans="1:12" ht="15.6">
      <c r="B43" s="59" t="s">
        <v>826</v>
      </c>
      <c r="C43" s="59"/>
      <c r="D43" s="59"/>
      <c r="E43" s="13">
        <v>111</v>
      </c>
      <c r="F43" s="13"/>
      <c r="G43" s="13"/>
      <c r="H43" s="13"/>
      <c r="I43" s="13"/>
      <c r="J43" s="13"/>
      <c r="K43" s="13"/>
    </row>
    <row r="44" spans="1:12" ht="15.6">
      <c r="B44" s="59" t="s">
        <v>828</v>
      </c>
      <c r="C44" s="59"/>
      <c r="D44" s="59"/>
      <c r="E44" s="13">
        <v>7</v>
      </c>
      <c r="F44" s="169" t="s">
        <v>197</v>
      </c>
      <c r="G44" s="13"/>
      <c r="H44" s="13"/>
      <c r="I44" s="13"/>
      <c r="J44" s="13"/>
      <c r="K44" s="13"/>
    </row>
    <row r="45" spans="1:12" ht="15.6">
      <c r="B45" s="320" t="s">
        <v>109</v>
      </c>
      <c r="C45" s="320"/>
      <c r="D45" s="320"/>
      <c r="E45" s="320"/>
      <c r="F45" s="320"/>
      <c r="G45" s="320"/>
      <c r="H45" s="320"/>
      <c r="I45" s="320"/>
      <c r="J45" s="320"/>
      <c r="K45" s="320"/>
    </row>
    <row r="46" spans="1:12" ht="15.6">
      <c r="B46" s="13"/>
      <c r="C46" s="13"/>
      <c r="D46" s="13"/>
      <c r="E46" s="13"/>
      <c r="F46" s="13"/>
      <c r="G46" s="13"/>
      <c r="H46" s="13"/>
      <c r="I46" s="13"/>
      <c r="J46" s="13"/>
      <c r="K46" s="13"/>
    </row>
    <row r="47" spans="1:12">
      <c r="A47" s="57"/>
      <c r="B47" s="314" t="s">
        <v>2</v>
      </c>
      <c r="C47" s="314" t="s">
        <v>110</v>
      </c>
      <c r="D47" s="314" t="s">
        <v>111</v>
      </c>
      <c r="E47" s="314" t="s">
        <v>112</v>
      </c>
      <c r="F47" s="314"/>
      <c r="G47" s="314"/>
      <c r="H47" s="314"/>
      <c r="I47" s="315" t="s">
        <v>119</v>
      </c>
      <c r="J47" s="315" t="s">
        <v>113</v>
      </c>
      <c r="K47" s="315" t="s">
        <v>120</v>
      </c>
    </row>
    <row r="48" spans="1:12">
      <c r="A48" s="57"/>
      <c r="B48" s="314"/>
      <c r="C48" s="314"/>
      <c r="D48" s="314"/>
      <c r="E48" s="314" t="s">
        <v>114</v>
      </c>
      <c r="F48" s="318" t="s">
        <v>115</v>
      </c>
      <c r="G48" s="318"/>
      <c r="H48" s="318"/>
      <c r="I48" s="316"/>
      <c r="J48" s="316"/>
      <c r="K48" s="316"/>
    </row>
    <row r="49" spans="1:12" ht="30">
      <c r="A49" s="58"/>
      <c r="B49" s="314"/>
      <c r="C49" s="314"/>
      <c r="D49" s="314"/>
      <c r="E49" s="314"/>
      <c r="F49" s="85" t="s">
        <v>116</v>
      </c>
      <c r="G49" s="85" t="s">
        <v>117</v>
      </c>
      <c r="H49" s="85" t="s">
        <v>118</v>
      </c>
      <c r="I49" s="317"/>
      <c r="J49" s="317"/>
      <c r="K49" s="317"/>
    </row>
    <row r="50" spans="1:12">
      <c r="A50" s="54"/>
      <c r="B50" s="86">
        <v>1</v>
      </c>
      <c r="C50" s="86">
        <v>2</v>
      </c>
      <c r="D50" s="86">
        <v>3</v>
      </c>
      <c r="E50" s="86">
        <v>4</v>
      </c>
      <c r="F50" s="86">
        <v>5</v>
      </c>
      <c r="G50" s="86">
        <v>6</v>
      </c>
      <c r="H50" s="86">
        <v>7</v>
      </c>
      <c r="I50" s="86">
        <v>8</v>
      </c>
      <c r="J50" s="86">
        <v>9</v>
      </c>
      <c r="K50" s="86">
        <v>10</v>
      </c>
    </row>
    <row r="51" spans="1:12" ht="15.6">
      <c r="B51" s="5">
        <v>1</v>
      </c>
      <c r="C51" s="16" t="s">
        <v>198</v>
      </c>
      <c r="D51" s="16">
        <v>102.25</v>
      </c>
      <c r="E51" s="275">
        <f>F51+G51+H51</f>
        <v>23900.5</v>
      </c>
      <c r="F51" s="275">
        <v>10202.14</v>
      </c>
      <c r="G51" s="275">
        <v>3698.36</v>
      </c>
      <c r="H51" s="275">
        <v>10000</v>
      </c>
      <c r="I51" s="275">
        <v>60</v>
      </c>
      <c r="J51" s="275">
        <v>1</v>
      </c>
      <c r="K51" s="275">
        <f>(D51*E51)*1.6*12</f>
        <v>46921461.600000001</v>
      </c>
    </row>
    <row r="52" spans="1:12" ht="15.6">
      <c r="B52" s="5"/>
      <c r="C52" s="16"/>
      <c r="D52" s="16"/>
      <c r="E52" s="16"/>
      <c r="F52" s="16"/>
      <c r="G52" s="16"/>
      <c r="H52" s="275"/>
      <c r="I52" s="275"/>
      <c r="J52" s="275"/>
      <c r="K52" s="16"/>
    </row>
    <row r="53" spans="1:12" ht="15.6">
      <c r="B53" s="5">
        <v>2</v>
      </c>
      <c r="C53" s="16" t="s">
        <v>199</v>
      </c>
      <c r="D53" s="16">
        <v>264</v>
      </c>
      <c r="E53" s="275">
        <f>F53+G53+H53</f>
        <v>15750.85</v>
      </c>
      <c r="F53" s="275">
        <v>7442.87</v>
      </c>
      <c r="G53" s="275">
        <v>3307.98</v>
      </c>
      <c r="H53" s="275">
        <v>5000</v>
      </c>
      <c r="I53" s="275">
        <v>60</v>
      </c>
      <c r="J53" s="275">
        <v>1</v>
      </c>
      <c r="K53" s="275">
        <f>(D53*E53)*1.6*12</f>
        <v>79837908.480000004</v>
      </c>
    </row>
    <row r="54" spans="1:12" ht="15.6">
      <c r="B54" s="5"/>
      <c r="C54" s="16"/>
      <c r="D54" s="16"/>
      <c r="E54" s="16"/>
      <c r="F54" s="275"/>
      <c r="G54" s="275"/>
      <c r="H54" s="275"/>
      <c r="I54" s="275"/>
      <c r="J54" s="275"/>
      <c r="K54" s="275"/>
    </row>
    <row r="55" spans="1:12" ht="15.6">
      <c r="B55" s="5"/>
      <c r="C55" s="16"/>
      <c r="D55" s="16"/>
      <c r="E55" s="16"/>
      <c r="F55" s="275"/>
      <c r="G55" s="275"/>
      <c r="H55" s="275"/>
      <c r="I55" s="275"/>
      <c r="J55" s="275"/>
      <c r="K55" s="275"/>
    </row>
    <row r="56" spans="1:12" ht="15.6">
      <c r="B56" s="5">
        <v>3</v>
      </c>
      <c r="C56" s="16" t="s">
        <v>201</v>
      </c>
      <c r="D56" s="16">
        <v>35.25</v>
      </c>
      <c r="E56" s="275">
        <f>F56+G56+H56</f>
        <v>11243.52</v>
      </c>
      <c r="F56" s="275">
        <v>4852.9399999999996</v>
      </c>
      <c r="G56" s="275">
        <v>3390.58</v>
      </c>
      <c r="H56" s="275">
        <v>3000</v>
      </c>
      <c r="I56" s="275">
        <v>60</v>
      </c>
      <c r="J56" s="275">
        <v>1</v>
      </c>
      <c r="K56" s="275">
        <f>(D56*E56)*1.6*12</f>
        <v>7609614.3360000011</v>
      </c>
    </row>
    <row r="57" spans="1:12" ht="15.6">
      <c r="B57" s="5"/>
      <c r="C57" s="16"/>
      <c r="D57" s="16"/>
      <c r="E57" s="16"/>
      <c r="F57" s="275"/>
      <c r="G57" s="275"/>
      <c r="H57" s="275"/>
      <c r="I57" s="275"/>
      <c r="J57" s="275"/>
      <c r="K57" s="275"/>
    </row>
    <row r="58" spans="1:12" ht="15.6">
      <c r="B58" s="5">
        <v>4</v>
      </c>
      <c r="C58" s="16" t="s">
        <v>202</v>
      </c>
      <c r="D58" s="16">
        <v>135</v>
      </c>
      <c r="E58" s="275">
        <f>F58+G58+H58</f>
        <v>9993.08</v>
      </c>
      <c r="F58" s="275">
        <v>5687.06</v>
      </c>
      <c r="G58" s="275">
        <v>1806.02</v>
      </c>
      <c r="H58" s="275">
        <v>2500</v>
      </c>
      <c r="I58" s="275">
        <v>60</v>
      </c>
      <c r="J58" s="275">
        <v>1</v>
      </c>
      <c r="K58" s="275">
        <f>(D58*E58)*1.6*12-174231.78</f>
        <v>25727831.580000002</v>
      </c>
    </row>
    <row r="59" spans="1:12" ht="15.6">
      <c r="B59" s="5"/>
      <c r="C59" s="16"/>
      <c r="D59" s="16"/>
      <c r="E59" s="16"/>
      <c r="F59" s="275"/>
      <c r="G59" s="275"/>
      <c r="H59" s="275"/>
      <c r="I59" s="275"/>
      <c r="J59" s="275"/>
      <c r="K59" s="275"/>
    </row>
    <row r="60" spans="1:12" ht="15.6">
      <c r="B60" s="5"/>
      <c r="C60" s="69"/>
      <c r="D60" s="16">
        <f>D51+D53+D56+D58</f>
        <v>536.5</v>
      </c>
      <c r="E60" s="275">
        <f>F60+G60+H60</f>
        <v>0</v>
      </c>
      <c r="F60" s="275"/>
      <c r="G60" s="275"/>
      <c r="H60" s="275"/>
      <c r="I60" s="275"/>
      <c r="J60" s="275"/>
      <c r="K60" s="275">
        <f>(D60*E60*(1+I60/100)*J60*12)</f>
        <v>0</v>
      </c>
    </row>
    <row r="61" spans="1:12" ht="15.6">
      <c r="A61" s="56"/>
      <c r="B61" s="32"/>
      <c r="C61" s="70" t="s">
        <v>121</v>
      </c>
      <c r="D61" s="71" t="s">
        <v>5</v>
      </c>
      <c r="E61" s="71"/>
      <c r="F61" s="72" t="s">
        <v>5</v>
      </c>
      <c r="G61" s="72" t="s">
        <v>5</v>
      </c>
      <c r="H61" s="72" t="s">
        <v>5</v>
      </c>
      <c r="I61" s="72" t="s">
        <v>5</v>
      </c>
      <c r="J61" s="72" t="s">
        <v>5</v>
      </c>
      <c r="K61" s="276">
        <f>SUM(K51:K60)</f>
        <v>160096815.99600002</v>
      </c>
      <c r="L61" s="56"/>
    </row>
    <row r="62" spans="1:12" ht="15.6">
      <c r="A62" s="56"/>
      <c r="B62" s="206"/>
      <c r="C62" s="207"/>
      <c r="D62" s="206"/>
      <c r="E62" s="206"/>
      <c r="F62" s="208"/>
      <c r="G62" s="208"/>
      <c r="H62" s="208"/>
      <c r="I62" s="208"/>
      <c r="J62" s="208"/>
      <c r="K62" s="208"/>
      <c r="L62" s="56"/>
    </row>
    <row r="63" spans="1:12" ht="15.6">
      <c r="A63" s="56"/>
      <c r="B63" s="206"/>
      <c r="C63" s="207"/>
      <c r="D63" s="206"/>
      <c r="E63" s="206"/>
      <c r="F63" s="208"/>
      <c r="G63" s="208"/>
      <c r="H63" s="208"/>
      <c r="I63" s="208"/>
      <c r="J63" s="208"/>
      <c r="K63" s="208"/>
      <c r="L63" s="56"/>
    </row>
    <row r="64" spans="1:12" ht="15.6">
      <c r="A64" s="56"/>
      <c r="B64" s="206"/>
      <c r="C64" s="207"/>
      <c r="D64" s="206"/>
      <c r="E64" s="206"/>
      <c r="F64" s="208"/>
      <c r="G64" s="208"/>
      <c r="H64" s="208"/>
      <c r="I64" s="208"/>
      <c r="J64" s="208"/>
      <c r="K64" s="208"/>
      <c r="L64" s="56"/>
    </row>
    <row r="65" spans="1:12" ht="15.6">
      <c r="A65" s="56"/>
      <c r="B65" s="206"/>
      <c r="C65" s="207"/>
      <c r="D65" s="206"/>
      <c r="E65" s="206"/>
      <c r="F65" s="208"/>
      <c r="G65" s="208"/>
      <c r="H65" s="208"/>
      <c r="I65" s="208"/>
      <c r="J65" s="208"/>
      <c r="K65" s="208"/>
      <c r="L65" s="56"/>
    </row>
    <row r="66" spans="1:12" ht="15.6">
      <c r="A66" s="56"/>
      <c r="B66" s="206"/>
      <c r="C66" s="207"/>
      <c r="D66" s="206"/>
      <c r="E66" s="206"/>
      <c r="F66" s="208"/>
      <c r="G66" s="208"/>
      <c r="H66" s="208"/>
      <c r="I66" s="208"/>
      <c r="J66" s="208"/>
      <c r="K66" s="208"/>
      <c r="L66" s="56"/>
    </row>
    <row r="67" spans="1:12" ht="15.6">
      <c r="A67" s="56"/>
      <c r="B67" s="206"/>
      <c r="C67" s="207"/>
      <c r="D67" s="206"/>
      <c r="E67" s="206"/>
      <c r="F67" s="208"/>
      <c r="G67" s="208"/>
      <c r="H67" s="208"/>
      <c r="I67" s="208"/>
      <c r="J67" s="208"/>
      <c r="K67" s="208"/>
      <c r="L67" s="56"/>
    </row>
    <row r="68" spans="1:12" ht="15.6">
      <c r="A68" s="56"/>
      <c r="B68" s="206"/>
      <c r="C68" s="207"/>
      <c r="D68" s="206"/>
      <c r="E68" s="206"/>
      <c r="F68" s="208"/>
      <c r="G68" s="208"/>
      <c r="H68" s="208"/>
      <c r="I68" s="208"/>
      <c r="J68" s="208"/>
      <c r="K68" s="208"/>
      <c r="L68" s="56"/>
    </row>
    <row r="69" spans="1:12" ht="15.6">
      <c r="A69" s="56"/>
      <c r="B69" s="206"/>
      <c r="C69" s="207"/>
      <c r="D69" s="206"/>
      <c r="E69" s="206"/>
      <c r="F69" s="208"/>
      <c r="G69" s="208"/>
      <c r="H69" s="208"/>
      <c r="I69" s="208"/>
      <c r="J69" s="208"/>
      <c r="K69" s="208"/>
      <c r="L69" s="56"/>
    </row>
    <row r="74" spans="1:12" ht="36.75" customHeight="1">
      <c r="B74" s="313" t="s">
        <v>101</v>
      </c>
      <c r="C74" s="313"/>
      <c r="D74" s="313"/>
      <c r="E74" s="313"/>
      <c r="F74" s="313"/>
      <c r="G74" s="313"/>
    </row>
    <row r="76" spans="1:12" ht="48.6">
      <c r="B76" s="46" t="s">
        <v>2</v>
      </c>
      <c r="C76" s="46" t="s">
        <v>34</v>
      </c>
      <c r="D76" s="47" t="s">
        <v>102</v>
      </c>
      <c r="E76" s="47" t="s">
        <v>103</v>
      </c>
      <c r="F76" s="47" t="s">
        <v>104</v>
      </c>
      <c r="G76" s="47" t="s">
        <v>90</v>
      </c>
    </row>
    <row r="77" spans="1:12">
      <c r="B77" s="45">
        <v>1</v>
      </c>
      <c r="C77" s="45">
        <v>2</v>
      </c>
      <c r="D77" s="45">
        <v>3</v>
      </c>
      <c r="E77" s="45">
        <v>4</v>
      </c>
      <c r="F77" s="45">
        <v>5</v>
      </c>
      <c r="G77" s="45">
        <v>6</v>
      </c>
    </row>
    <row r="78" spans="1:12" ht="15.6">
      <c r="B78" s="5">
        <v>1</v>
      </c>
      <c r="C78" s="5" t="s">
        <v>105</v>
      </c>
      <c r="D78" s="5">
        <v>750</v>
      </c>
      <c r="E78" s="5">
        <v>14</v>
      </c>
      <c r="F78" s="11">
        <v>2</v>
      </c>
      <c r="G78" s="11">
        <f>D78*E78*F78</f>
        <v>21000</v>
      </c>
    </row>
    <row r="79" spans="1:12" ht="34.65" customHeight="1">
      <c r="B79" s="5">
        <v>2</v>
      </c>
      <c r="C79" s="6" t="s">
        <v>106</v>
      </c>
      <c r="D79" s="5">
        <v>800</v>
      </c>
      <c r="E79" s="5">
        <v>7</v>
      </c>
      <c r="F79" s="11">
        <v>38</v>
      </c>
      <c r="G79" s="11">
        <f t="shared" ref="G79:G80" si="5">D79*E79*F79</f>
        <v>212800</v>
      </c>
    </row>
    <row r="80" spans="1:12" ht="15.6">
      <c r="B80" s="5">
        <v>3</v>
      </c>
      <c r="C80" s="5" t="s">
        <v>107</v>
      </c>
      <c r="D80" s="5">
        <v>200</v>
      </c>
      <c r="E80" s="5">
        <v>7</v>
      </c>
      <c r="F80" s="11">
        <v>133</v>
      </c>
      <c r="G80" s="11">
        <f t="shared" si="5"/>
        <v>186200</v>
      </c>
    </row>
    <row r="81" spans="2:7" ht="15.6">
      <c r="B81" s="5"/>
      <c r="C81" s="5"/>
      <c r="D81" s="5"/>
      <c r="E81" s="5"/>
      <c r="F81" s="11"/>
      <c r="G81" s="11"/>
    </row>
    <row r="82" spans="2:7">
      <c r="B82" s="44"/>
      <c r="C82" s="51" t="s">
        <v>25</v>
      </c>
      <c r="D82" s="52" t="s">
        <v>5</v>
      </c>
      <c r="E82" s="52" t="s">
        <v>5</v>
      </c>
      <c r="F82" s="52" t="s">
        <v>5</v>
      </c>
      <c r="G82" s="53">
        <f>SUM(G78:G81)</f>
        <v>420000</v>
      </c>
    </row>
  </sheetData>
  <mergeCells count="23">
    <mergeCell ref="B74:G74"/>
    <mergeCell ref="B2:K2"/>
    <mergeCell ref="B7:K7"/>
    <mergeCell ref="K9:K11"/>
    <mergeCell ref="E10:E11"/>
    <mergeCell ref="F10:H10"/>
    <mergeCell ref="J9:J11"/>
    <mergeCell ref="I9:I11"/>
    <mergeCell ref="B9:B11"/>
    <mergeCell ref="C9:C11"/>
    <mergeCell ref="D9:D11"/>
    <mergeCell ref="E9:H9"/>
    <mergeCell ref="B41:K41"/>
    <mergeCell ref="B45:K45"/>
    <mergeCell ref="B47:B49"/>
    <mergeCell ref="C47:C49"/>
    <mergeCell ref="D47:D49"/>
    <mergeCell ref="E47:H47"/>
    <mergeCell ref="I47:I49"/>
    <mergeCell ref="J47:J49"/>
    <mergeCell ref="K47:K49"/>
    <mergeCell ref="E48:E49"/>
    <mergeCell ref="F48:H48"/>
  </mergeCells>
  <pageMargins left="0.51181102362204722" right="0.11811023622047245" top="0.74803149606299213" bottom="0.74803149606299213" header="0.31496062992125984" footer="0.31496062992125984"/>
  <pageSetup paperSize="9" scale="95" orientation="landscape" copies="2" r:id="rId1"/>
</worksheet>
</file>

<file path=xl/worksheets/sheet6.xml><?xml version="1.0" encoding="utf-8"?>
<worksheet xmlns="http://schemas.openxmlformats.org/spreadsheetml/2006/main" xmlns:r="http://schemas.openxmlformats.org/officeDocument/2006/relationships">
  <dimension ref="B3:G212"/>
  <sheetViews>
    <sheetView topLeftCell="A189" workbookViewId="0">
      <selection activeCell="B190" sqref="B190"/>
    </sheetView>
  </sheetViews>
  <sheetFormatPr defaultRowHeight="14.4"/>
  <cols>
    <col min="1" max="1" width="16.44140625" customWidth="1"/>
    <col min="2" max="2" width="9.5546875" customWidth="1"/>
    <col min="3" max="3" width="58" customWidth="1"/>
    <col min="4" max="4" width="17.33203125" customWidth="1"/>
    <col min="5" max="5" width="22.33203125" customWidth="1"/>
    <col min="6" max="6" width="12.88671875" customWidth="1"/>
    <col min="7" max="7" width="13.5546875" customWidth="1"/>
  </cols>
  <sheetData>
    <row r="3" spans="2:7" ht="51.75" customHeight="1">
      <c r="B3" s="313" t="s">
        <v>139</v>
      </c>
      <c r="C3" s="313"/>
      <c r="D3" s="313"/>
      <c r="E3" s="313"/>
      <c r="F3" s="313"/>
      <c r="G3" s="313"/>
    </row>
    <row r="4" spans="2:7" ht="53.25" customHeight="1">
      <c r="B4" s="46" t="s">
        <v>2</v>
      </c>
      <c r="C4" s="46" t="s">
        <v>34</v>
      </c>
      <c r="D4" s="47" t="s">
        <v>95</v>
      </c>
      <c r="E4" s="47" t="s">
        <v>96</v>
      </c>
      <c r="F4" s="47" t="s">
        <v>97</v>
      </c>
      <c r="G4" s="47" t="s">
        <v>90</v>
      </c>
    </row>
    <row r="5" spans="2:7" ht="16.649999999999999" customHeight="1">
      <c r="B5" s="45">
        <v>1</v>
      </c>
      <c r="C5" s="45">
        <v>2</v>
      </c>
      <c r="D5" s="45">
        <v>3</v>
      </c>
      <c r="E5" s="45">
        <v>4</v>
      </c>
      <c r="F5" s="45">
        <v>5</v>
      </c>
      <c r="G5" s="45">
        <v>6</v>
      </c>
    </row>
    <row r="6" spans="2:7" ht="29.25" customHeight="1">
      <c r="B6" s="5">
        <v>2</v>
      </c>
      <c r="C6" s="6" t="s">
        <v>99</v>
      </c>
      <c r="D6" s="4">
        <v>4</v>
      </c>
      <c r="E6" s="4">
        <v>12</v>
      </c>
      <c r="F6" s="9">
        <v>60</v>
      </c>
      <c r="G6" s="9">
        <f>D6*E6*F6</f>
        <v>2880</v>
      </c>
    </row>
    <row r="7" spans="2:7" ht="15.6">
      <c r="B7" s="5"/>
      <c r="C7" s="5"/>
      <c r="D7" s="4"/>
      <c r="E7" s="4"/>
      <c r="F7" s="9"/>
      <c r="G7" s="9"/>
    </row>
    <row r="8" spans="2:7" ht="15.6">
      <c r="B8" s="5"/>
      <c r="C8" s="5"/>
      <c r="D8" s="4"/>
      <c r="E8" s="4"/>
      <c r="F8" s="9"/>
      <c r="G8" s="9"/>
    </row>
    <row r="9" spans="2:7">
      <c r="B9" s="44"/>
      <c r="C9" s="51" t="s">
        <v>25</v>
      </c>
      <c r="D9" s="52" t="s">
        <v>5</v>
      </c>
      <c r="E9" s="52" t="s">
        <v>5</v>
      </c>
      <c r="F9" s="52" t="s">
        <v>5</v>
      </c>
      <c r="G9" s="53">
        <f>SUM(G6:G8)</f>
        <v>2880</v>
      </c>
    </row>
    <row r="10" spans="2:7">
      <c r="B10" s="209"/>
      <c r="C10" s="210"/>
      <c r="D10" s="211"/>
      <c r="E10" s="211"/>
      <c r="F10" s="211"/>
      <c r="G10" s="212"/>
    </row>
    <row r="11" spans="2:7">
      <c r="B11" s="209"/>
      <c r="C11" s="210"/>
      <c r="D11" s="211"/>
      <c r="E11" s="211"/>
      <c r="F11" s="211"/>
      <c r="G11" s="212"/>
    </row>
    <row r="12" spans="2:7">
      <c r="B12" s="209"/>
      <c r="C12" s="210"/>
      <c r="D12" s="211"/>
      <c r="E12" s="211"/>
      <c r="F12" s="211"/>
      <c r="G12" s="212"/>
    </row>
    <row r="13" spans="2:7">
      <c r="B13" s="209"/>
      <c r="C13" s="210"/>
      <c r="D13" s="211"/>
      <c r="E13" s="211"/>
      <c r="F13" s="211"/>
      <c r="G13" s="212"/>
    </row>
    <row r="14" spans="2:7">
      <c r="B14" s="209"/>
      <c r="C14" s="210"/>
      <c r="D14" s="211"/>
      <c r="E14" s="211"/>
      <c r="F14" s="211"/>
      <c r="G14" s="212"/>
    </row>
    <row r="15" spans="2:7">
      <c r="B15" s="209"/>
      <c r="C15" s="210"/>
      <c r="D15" s="211"/>
      <c r="E15" s="211"/>
      <c r="F15" s="211"/>
      <c r="G15" s="212"/>
    </row>
    <row r="16" spans="2:7">
      <c r="B16" s="209"/>
      <c r="C16" s="210"/>
      <c r="D16" s="211"/>
      <c r="E16" s="211"/>
      <c r="F16" s="211"/>
      <c r="G16" s="212"/>
    </row>
    <row r="17" spans="2:7">
      <c r="B17" s="209"/>
      <c r="C17" s="210"/>
      <c r="D17" s="211"/>
      <c r="E17" s="211"/>
      <c r="F17" s="211"/>
      <c r="G17" s="212"/>
    </row>
    <row r="18" spans="2:7">
      <c r="B18" s="209"/>
      <c r="C18" s="210"/>
      <c r="D18" s="211"/>
      <c r="E18" s="211"/>
      <c r="F18" s="211"/>
      <c r="G18" s="212"/>
    </row>
    <row r="19" spans="2:7">
      <c r="B19" s="209"/>
      <c r="C19" s="210"/>
      <c r="D19" s="211"/>
      <c r="E19" s="211"/>
      <c r="F19" s="211"/>
      <c r="G19" s="212"/>
    </row>
    <row r="20" spans="2:7">
      <c r="B20" s="209"/>
      <c r="C20" s="210"/>
      <c r="D20" s="211"/>
      <c r="E20" s="211"/>
      <c r="F20" s="211"/>
      <c r="G20" s="212"/>
    </row>
    <row r="21" spans="2:7">
      <c r="B21" s="209"/>
      <c r="C21" s="210"/>
      <c r="D21" s="211"/>
      <c r="E21" s="211"/>
      <c r="F21" s="211"/>
      <c r="G21" s="212"/>
    </row>
    <row r="22" spans="2:7">
      <c r="B22" s="209"/>
      <c r="C22" s="210"/>
      <c r="D22" s="211"/>
      <c r="E22" s="211"/>
      <c r="F22" s="211"/>
      <c r="G22" s="212"/>
    </row>
    <row r="23" spans="2:7">
      <c r="B23" s="209"/>
      <c r="C23" s="210"/>
      <c r="D23" s="211"/>
      <c r="E23" s="211"/>
      <c r="F23" s="211"/>
      <c r="G23" s="212"/>
    </row>
    <row r="24" spans="2:7">
      <c r="B24" s="209"/>
      <c r="C24" s="210"/>
      <c r="D24" s="211"/>
      <c r="E24" s="211"/>
      <c r="F24" s="211"/>
      <c r="G24" s="212"/>
    </row>
    <row r="25" spans="2:7">
      <c r="B25" s="209"/>
      <c r="C25" s="210"/>
      <c r="D25" s="211"/>
      <c r="E25" s="211"/>
      <c r="F25" s="211"/>
      <c r="G25" s="212"/>
    </row>
    <row r="26" spans="2:7">
      <c r="B26" s="209"/>
      <c r="C26" s="210"/>
      <c r="D26" s="211"/>
      <c r="E26" s="211"/>
      <c r="F26" s="211"/>
      <c r="G26" s="212"/>
    </row>
    <row r="27" spans="2:7">
      <c r="B27" s="209"/>
      <c r="C27" s="210"/>
      <c r="D27" s="211"/>
      <c r="E27" s="211"/>
      <c r="F27" s="211"/>
      <c r="G27" s="212"/>
    </row>
    <row r="28" spans="2:7">
      <c r="B28" s="209"/>
      <c r="C28" s="210"/>
      <c r="D28" s="211"/>
      <c r="E28" s="211"/>
      <c r="F28" s="211"/>
      <c r="G28" s="212"/>
    </row>
    <row r="29" spans="2:7">
      <c r="B29" s="209"/>
      <c r="C29" s="210"/>
      <c r="D29" s="211"/>
      <c r="E29" s="211"/>
      <c r="F29" s="211"/>
      <c r="G29" s="212"/>
    </row>
    <row r="30" spans="2:7">
      <c r="B30" s="209"/>
      <c r="C30" s="210"/>
      <c r="D30" s="211"/>
      <c r="E30" s="211"/>
      <c r="F30" s="211"/>
      <c r="G30" s="212"/>
    </row>
    <row r="31" spans="2:7">
      <c r="B31" s="209"/>
      <c r="C31" s="210"/>
      <c r="D31" s="211"/>
      <c r="E31" s="211"/>
      <c r="F31" s="211"/>
      <c r="G31" s="212"/>
    </row>
    <row r="32" spans="2:7">
      <c r="B32" s="209"/>
      <c r="C32" s="210"/>
      <c r="D32" s="211"/>
      <c r="E32" s="211"/>
      <c r="F32" s="211"/>
      <c r="G32" s="212"/>
    </row>
    <row r="33" spans="2:7">
      <c r="B33" s="209"/>
      <c r="C33" s="210"/>
      <c r="D33" s="211"/>
      <c r="E33" s="211"/>
      <c r="F33" s="211"/>
      <c r="G33" s="212"/>
    </row>
    <row r="34" spans="2:7" ht="17.25" customHeight="1"/>
    <row r="35" spans="2:7" ht="62.25" customHeight="1">
      <c r="B35" s="328" t="s">
        <v>873</v>
      </c>
      <c r="C35" s="328"/>
      <c r="D35" s="328"/>
      <c r="E35" s="328"/>
    </row>
    <row r="36" spans="2:7" ht="20.399999999999999">
      <c r="B36" s="10" t="s">
        <v>2</v>
      </c>
      <c r="C36" s="2" t="s">
        <v>0</v>
      </c>
      <c r="D36" s="2" t="s">
        <v>3</v>
      </c>
      <c r="E36" s="10" t="s">
        <v>1</v>
      </c>
    </row>
    <row r="37" spans="2:7">
      <c r="B37" s="1">
        <v>1</v>
      </c>
      <c r="C37" s="3">
        <v>2</v>
      </c>
      <c r="D37" s="1">
        <v>3</v>
      </c>
      <c r="E37" s="1">
        <v>4</v>
      </c>
    </row>
    <row r="38" spans="2:7" ht="31.2">
      <c r="B38" s="32">
        <v>1</v>
      </c>
      <c r="C38" s="39" t="s">
        <v>4</v>
      </c>
      <c r="D38" s="32" t="s">
        <v>5</v>
      </c>
      <c r="E38" s="34">
        <f>SUM(E39:E40)</f>
        <v>34660960.6844</v>
      </c>
    </row>
    <row r="39" spans="2:7" ht="31.2">
      <c r="B39" s="8" t="s">
        <v>6</v>
      </c>
      <c r="C39" s="7" t="s">
        <v>7</v>
      </c>
      <c r="D39" s="9">
        <v>156704733.12</v>
      </c>
      <c r="E39" s="9">
        <f>(D39*22%)-153288.89</f>
        <v>34321752.396399997</v>
      </c>
    </row>
    <row r="40" spans="2:7" s="50" customFormat="1" ht="15.6">
      <c r="B40" s="8" t="s">
        <v>9</v>
      </c>
      <c r="C40" s="6" t="s">
        <v>8</v>
      </c>
      <c r="D40" s="9">
        <f>3392082.88</f>
        <v>3392082.88</v>
      </c>
      <c r="E40" s="9">
        <f>D40*10%</f>
        <v>339208.288</v>
      </c>
      <c r="F40"/>
      <c r="G40"/>
    </row>
    <row r="41" spans="2:7" ht="31.5" customHeight="1">
      <c r="B41" s="8" t="s">
        <v>10</v>
      </c>
      <c r="C41" s="6" t="s">
        <v>11</v>
      </c>
      <c r="D41" s="9"/>
      <c r="E41" s="9"/>
    </row>
    <row r="42" spans="2:7" ht="31.2">
      <c r="B42" s="40" t="s">
        <v>12</v>
      </c>
      <c r="C42" s="41" t="s">
        <v>13</v>
      </c>
      <c r="D42" s="34" t="s">
        <v>5</v>
      </c>
      <c r="E42" s="34">
        <f>SUM(E43:E47)</f>
        <v>5043049.7</v>
      </c>
    </row>
    <row r="43" spans="2:7" ht="47.25" customHeight="1">
      <c r="B43" s="8" t="s">
        <v>14</v>
      </c>
      <c r="C43" s="6" t="s">
        <v>15</v>
      </c>
      <c r="D43" s="9">
        <v>160096816</v>
      </c>
      <c r="E43" s="9">
        <f>4642807.66</f>
        <v>4642807.66</v>
      </c>
    </row>
    <row r="44" spans="2:7" ht="31.2">
      <c r="B44" s="8" t="s">
        <v>16</v>
      </c>
      <c r="C44" s="6" t="s">
        <v>17</v>
      </c>
      <c r="D44" s="9"/>
      <c r="E44" s="9"/>
    </row>
    <row r="45" spans="2:7" ht="46.8">
      <c r="B45" s="8" t="s">
        <v>18</v>
      </c>
      <c r="C45" s="6" t="s">
        <v>78</v>
      </c>
      <c r="D45" s="9">
        <v>160096816</v>
      </c>
      <c r="E45" s="9">
        <f>D45*0.25%</f>
        <v>400242.04000000004</v>
      </c>
    </row>
    <row r="46" spans="2:7" ht="46.8">
      <c r="B46" s="8" t="s">
        <v>19</v>
      </c>
      <c r="C46" s="6" t="s">
        <v>20</v>
      </c>
      <c r="D46" s="9"/>
      <c r="E46" s="9"/>
    </row>
    <row r="47" spans="2:7" ht="46.8">
      <c r="B47" s="8" t="s">
        <v>23</v>
      </c>
      <c r="C47" s="6" t="s">
        <v>20</v>
      </c>
      <c r="D47" s="9"/>
      <c r="E47" s="9"/>
    </row>
    <row r="48" spans="2:7" ht="46.8">
      <c r="B48" s="48" t="s">
        <v>24</v>
      </c>
      <c r="C48" s="49" t="s">
        <v>100</v>
      </c>
      <c r="D48" s="36">
        <v>160096816</v>
      </c>
      <c r="E48" s="36">
        <f>D48*5.1%</f>
        <v>8164937.6159999995</v>
      </c>
      <c r="F48" s="50"/>
      <c r="G48" s="50"/>
    </row>
    <row r="49" spans="2:6" ht="15.6">
      <c r="B49" s="40"/>
      <c r="C49" s="41" t="s">
        <v>26</v>
      </c>
      <c r="D49" s="34" t="s">
        <v>5</v>
      </c>
      <c r="E49" s="34">
        <f>E48+E42+E38</f>
        <v>47868948.000399999</v>
      </c>
    </row>
    <row r="51" spans="2:6" ht="42.75" customHeight="1">
      <c r="B51" t="s">
        <v>21</v>
      </c>
      <c r="C51" s="324" t="s">
        <v>22</v>
      </c>
      <c r="D51" s="324"/>
      <c r="E51" s="324"/>
    </row>
    <row r="57" spans="2:6" ht="15.6">
      <c r="B57" s="13"/>
      <c r="C57" s="320" t="s">
        <v>27</v>
      </c>
      <c r="D57" s="320"/>
      <c r="E57" s="320"/>
      <c r="F57" s="320"/>
    </row>
    <row r="58" spans="2:6" ht="15.6">
      <c r="B58" s="13"/>
      <c r="C58" s="13"/>
      <c r="D58" s="13"/>
      <c r="E58" s="26"/>
      <c r="F58" s="13"/>
    </row>
    <row r="59" spans="2:6" ht="15.6">
      <c r="B59" s="170" t="s">
        <v>28</v>
      </c>
      <c r="C59" s="170"/>
      <c r="D59" s="21" t="s">
        <v>59</v>
      </c>
      <c r="E59" s="26"/>
      <c r="F59" s="13"/>
    </row>
    <row r="60" spans="2:6" ht="15.6">
      <c r="B60" s="170" t="s">
        <v>29</v>
      </c>
      <c r="C60" s="170"/>
      <c r="D60" s="21" t="s">
        <v>829</v>
      </c>
      <c r="E60" s="26"/>
      <c r="F60" s="13"/>
    </row>
    <row r="61" spans="2:6" ht="15.6">
      <c r="B61" s="13"/>
      <c r="C61" s="13"/>
      <c r="D61" s="13"/>
      <c r="E61" s="26"/>
      <c r="F61" s="13"/>
    </row>
    <row r="62" spans="2:6" ht="62.4">
      <c r="B62" s="14" t="s">
        <v>2</v>
      </c>
      <c r="C62" s="14" t="s">
        <v>30</v>
      </c>
      <c r="D62" s="14" t="s">
        <v>83</v>
      </c>
      <c r="E62" s="27" t="s">
        <v>31</v>
      </c>
      <c r="F62" s="14" t="s">
        <v>32</v>
      </c>
    </row>
    <row r="63" spans="2:6">
      <c r="B63" s="202">
        <v>1</v>
      </c>
      <c r="C63" s="202">
        <v>2</v>
      </c>
      <c r="D63" s="202">
        <v>3</v>
      </c>
      <c r="E63" s="28">
        <v>4</v>
      </c>
      <c r="F63" s="202">
        <v>5</v>
      </c>
    </row>
    <row r="64" spans="2:6" ht="15.6">
      <c r="B64" s="30">
        <v>1</v>
      </c>
      <c r="C64" s="31" t="s">
        <v>72</v>
      </c>
      <c r="D64" s="32" t="s">
        <v>5</v>
      </c>
      <c r="E64" s="33" t="s">
        <v>5</v>
      </c>
      <c r="F64" s="34">
        <f>SUM(F65:F73)</f>
        <v>36811.9</v>
      </c>
    </row>
    <row r="65" spans="2:6" ht="15.6">
      <c r="B65" s="24" t="s">
        <v>6</v>
      </c>
      <c r="C65" s="5" t="s">
        <v>71</v>
      </c>
      <c r="D65" s="22">
        <f>74+85+85+84+84+84+128+128+128+128+128+128</f>
        <v>1264</v>
      </c>
      <c r="E65" s="29">
        <v>4.5</v>
      </c>
      <c r="F65" s="9">
        <f>E65*D65</f>
        <v>5688</v>
      </c>
    </row>
    <row r="66" spans="2:6" ht="15.6">
      <c r="B66" s="25" t="s">
        <v>9</v>
      </c>
      <c r="C66" s="5" t="s">
        <v>1498</v>
      </c>
      <c r="D66" s="22">
        <f>112.2+112.2+112.2+112.2+112.2</f>
        <v>561</v>
      </c>
      <c r="E66" s="29">
        <v>7.5</v>
      </c>
      <c r="F66" s="9">
        <f t="shared" ref="F66:F74" si="0">E66*D66</f>
        <v>4207.5</v>
      </c>
    </row>
    <row r="67" spans="2:6" ht="15.6">
      <c r="B67" s="25" t="s">
        <v>10</v>
      </c>
      <c r="C67" s="5" t="s">
        <v>1497</v>
      </c>
      <c r="D67" s="22">
        <f>128*6</f>
        <v>768</v>
      </c>
      <c r="E67" s="29">
        <v>7.5</v>
      </c>
      <c r="F67" s="9">
        <f t="shared" si="0"/>
        <v>5760</v>
      </c>
    </row>
    <row r="68" spans="2:6" ht="15.6">
      <c r="B68" s="25" t="s">
        <v>60</v>
      </c>
      <c r="C68" s="5" t="s">
        <v>65</v>
      </c>
      <c r="D68" s="22">
        <f>98+98+98</f>
        <v>294</v>
      </c>
      <c r="E68" s="29">
        <v>4.5</v>
      </c>
      <c r="F68" s="9">
        <f t="shared" si="0"/>
        <v>1323</v>
      </c>
    </row>
    <row r="69" spans="2:6" ht="15.6">
      <c r="B69" s="25" t="s">
        <v>61</v>
      </c>
      <c r="C69" s="5" t="s">
        <v>65</v>
      </c>
      <c r="D69" s="22">
        <f>140+140+140</f>
        <v>420</v>
      </c>
      <c r="E69" s="29">
        <v>7.5</v>
      </c>
      <c r="F69" s="9">
        <f t="shared" si="0"/>
        <v>3150</v>
      </c>
    </row>
    <row r="70" spans="2:6" ht="15.6">
      <c r="B70" s="25" t="s">
        <v>67</v>
      </c>
      <c r="C70" s="5" t="s">
        <v>66</v>
      </c>
      <c r="D70" s="22">
        <v>115</v>
      </c>
      <c r="E70" s="29">
        <v>13</v>
      </c>
      <c r="F70" s="9">
        <f t="shared" si="0"/>
        <v>1495</v>
      </c>
    </row>
    <row r="71" spans="2:6" ht="29.25" customHeight="1">
      <c r="B71" s="25" t="s">
        <v>68</v>
      </c>
      <c r="C71" s="6" t="s">
        <v>1499</v>
      </c>
      <c r="D71" s="22">
        <f>110*2</f>
        <v>220</v>
      </c>
      <c r="E71" s="29">
        <v>7.5</v>
      </c>
      <c r="F71" s="9">
        <f t="shared" si="0"/>
        <v>1650</v>
      </c>
    </row>
    <row r="72" spans="2:6" ht="15.6">
      <c r="B72" s="25" t="s">
        <v>69</v>
      </c>
      <c r="C72" s="5" t="s">
        <v>62</v>
      </c>
      <c r="D72" s="22">
        <v>125.12</v>
      </c>
      <c r="E72" s="29">
        <v>7.5</v>
      </c>
      <c r="F72" s="9">
        <f t="shared" si="0"/>
        <v>938.40000000000009</v>
      </c>
    </row>
    <row r="73" spans="2:6" ht="31.2">
      <c r="B73" s="25" t="s">
        <v>910</v>
      </c>
      <c r="C73" s="6" t="s">
        <v>1501</v>
      </c>
      <c r="D73" s="22">
        <v>280</v>
      </c>
      <c r="E73" s="29">
        <v>45</v>
      </c>
      <c r="F73" s="9">
        <f t="shared" si="0"/>
        <v>12600</v>
      </c>
    </row>
    <row r="74" spans="2:6" ht="31.2">
      <c r="B74" s="25" t="s">
        <v>911</v>
      </c>
      <c r="C74" s="6" t="s">
        <v>1500</v>
      </c>
      <c r="D74" s="22">
        <v>240</v>
      </c>
      <c r="E74" s="29">
        <v>7.5</v>
      </c>
      <c r="F74" s="9">
        <f t="shared" si="0"/>
        <v>1800</v>
      </c>
    </row>
    <row r="75" spans="2:6" ht="15.6">
      <c r="B75" s="30">
        <v>2</v>
      </c>
      <c r="C75" s="35" t="s">
        <v>33</v>
      </c>
      <c r="D75" s="34">
        <f>50534000</f>
        <v>50534000</v>
      </c>
      <c r="E75" s="33">
        <v>1.5</v>
      </c>
      <c r="F75" s="34">
        <f>D75*1.5%</f>
        <v>758010</v>
      </c>
    </row>
    <row r="76" spans="2:6" ht="15.6">
      <c r="B76" s="30">
        <v>3</v>
      </c>
      <c r="C76" s="35" t="s">
        <v>73</v>
      </c>
      <c r="D76" s="36" t="s">
        <v>5</v>
      </c>
      <c r="E76" s="37" t="s">
        <v>5</v>
      </c>
      <c r="F76" s="34">
        <f>SUM(F77:F78)</f>
        <v>37835</v>
      </c>
    </row>
    <row r="77" spans="2:6" ht="15.6">
      <c r="B77" s="8" t="s">
        <v>74</v>
      </c>
      <c r="C77" s="5" t="s">
        <v>76</v>
      </c>
      <c r="D77" s="22">
        <v>15285000</v>
      </c>
      <c r="E77" s="29">
        <v>0.1</v>
      </c>
      <c r="F77" s="9">
        <f>E77*D77/100</f>
        <v>15285</v>
      </c>
    </row>
    <row r="78" spans="2:6" ht="15.6">
      <c r="B78" s="8" t="s">
        <v>75</v>
      </c>
      <c r="C78" s="5" t="s">
        <v>77</v>
      </c>
      <c r="D78" s="22">
        <v>1025000</v>
      </c>
      <c r="E78" s="29">
        <v>2.2000000000000002</v>
      </c>
      <c r="F78" s="9">
        <f>E78*D78/100</f>
        <v>22550</v>
      </c>
    </row>
    <row r="79" spans="2:6" ht="31.2">
      <c r="B79" s="40" t="s">
        <v>80</v>
      </c>
      <c r="C79" s="41" t="s">
        <v>84</v>
      </c>
      <c r="D79" s="36">
        <v>2000</v>
      </c>
      <c r="E79" s="37" t="s">
        <v>5</v>
      </c>
      <c r="F79" s="34">
        <f>10*2000</f>
        <v>20000</v>
      </c>
    </row>
    <row r="80" spans="2:6" ht="15.6">
      <c r="B80" s="40" t="s">
        <v>81</v>
      </c>
      <c r="C80" s="41" t="s">
        <v>1496</v>
      </c>
      <c r="D80" s="36" t="s">
        <v>5</v>
      </c>
      <c r="E80" s="37" t="s">
        <v>5</v>
      </c>
      <c r="F80" s="34">
        <v>127343.1</v>
      </c>
    </row>
    <row r="81" spans="2:7" ht="15.6">
      <c r="B81" s="38"/>
      <c r="C81" s="35" t="s">
        <v>25</v>
      </c>
      <c r="D81" s="34"/>
      <c r="E81" s="33"/>
      <c r="F81" s="34">
        <f>F64+F75+F76+F79+F80</f>
        <v>980000</v>
      </c>
    </row>
    <row r="91" spans="2:7" ht="15.6">
      <c r="B91" s="320" t="s">
        <v>85</v>
      </c>
      <c r="C91" s="320"/>
      <c r="D91" s="320"/>
      <c r="E91" s="320"/>
      <c r="F91" s="320"/>
      <c r="G91" s="13"/>
    </row>
    <row r="92" spans="2:7" ht="15.6">
      <c r="B92" s="13"/>
      <c r="C92" s="199"/>
      <c r="D92" s="199"/>
      <c r="E92" s="199"/>
      <c r="F92" s="199"/>
      <c r="G92" s="13"/>
    </row>
    <row r="93" spans="2:7" ht="15.6">
      <c r="B93" s="13"/>
      <c r="C93" s="158" t="s">
        <v>830</v>
      </c>
      <c r="D93" s="199"/>
      <c r="E93" s="171">
        <v>244</v>
      </c>
      <c r="F93" s="171"/>
      <c r="G93" s="13"/>
    </row>
    <row r="94" spans="2:7" ht="15.6">
      <c r="B94" s="13"/>
      <c r="C94" s="158" t="s">
        <v>828</v>
      </c>
      <c r="D94" s="13"/>
      <c r="E94" s="171">
        <v>7</v>
      </c>
      <c r="F94" s="171" t="s">
        <v>197</v>
      </c>
      <c r="G94" s="13"/>
    </row>
    <row r="95" spans="2:7" ht="15.6">
      <c r="B95" s="13"/>
      <c r="C95" s="158"/>
      <c r="D95" s="13"/>
      <c r="E95" s="13"/>
      <c r="F95" s="13"/>
      <c r="G95" s="13"/>
    </row>
    <row r="96" spans="2:7" ht="15.6">
      <c r="B96" s="13"/>
      <c r="C96" s="158" t="s">
        <v>86</v>
      </c>
      <c r="D96" s="13"/>
      <c r="E96" s="13"/>
      <c r="F96" s="13"/>
      <c r="G96" s="13"/>
    </row>
    <row r="97" spans="2:7" ht="15.6">
      <c r="B97" s="13"/>
      <c r="C97" s="158"/>
      <c r="D97" s="13"/>
      <c r="E97" s="13"/>
      <c r="F97" s="13"/>
      <c r="G97" s="13"/>
    </row>
    <row r="98" spans="2:7" ht="21.6">
      <c r="B98" s="200" t="s">
        <v>2</v>
      </c>
      <c r="C98" s="200" t="s">
        <v>30</v>
      </c>
      <c r="D98" s="200" t="s">
        <v>87</v>
      </c>
      <c r="E98" s="200" t="s">
        <v>88</v>
      </c>
      <c r="F98" s="200" t="s">
        <v>89</v>
      </c>
      <c r="G98" s="43" t="s">
        <v>90</v>
      </c>
    </row>
    <row r="99" spans="2:7">
      <c r="B99" s="42">
        <v>1</v>
      </c>
      <c r="C99" s="42">
        <v>2</v>
      </c>
      <c r="D99" s="42">
        <v>3</v>
      </c>
      <c r="E99" s="42">
        <v>4</v>
      </c>
      <c r="F99" s="42">
        <v>5</v>
      </c>
      <c r="G99" s="42">
        <v>6</v>
      </c>
    </row>
    <row r="100" spans="2:7" ht="15.6">
      <c r="B100" s="61" t="s">
        <v>129</v>
      </c>
      <c r="C100" s="61" t="s">
        <v>122</v>
      </c>
      <c r="D100" s="8" t="s">
        <v>204</v>
      </c>
      <c r="E100" s="8" t="s">
        <v>123</v>
      </c>
      <c r="F100" s="9">
        <v>879.6</v>
      </c>
      <c r="G100" s="9">
        <f>F100*E100*D100</f>
        <v>580536</v>
      </c>
    </row>
    <row r="101" spans="2:7" ht="15.6">
      <c r="B101" s="61" t="s">
        <v>12</v>
      </c>
      <c r="C101" s="61" t="s">
        <v>124</v>
      </c>
      <c r="D101" s="8" t="s">
        <v>127</v>
      </c>
      <c r="E101" s="8" t="s">
        <v>123</v>
      </c>
      <c r="F101" s="9">
        <v>6.25</v>
      </c>
      <c r="G101" s="9">
        <f>F101*12*3000</f>
        <v>225000</v>
      </c>
    </row>
    <row r="102" spans="2:7" ht="15.6">
      <c r="B102" s="61" t="s">
        <v>24</v>
      </c>
      <c r="C102" s="61" t="s">
        <v>125</v>
      </c>
      <c r="D102" s="8" t="s">
        <v>81</v>
      </c>
      <c r="E102" s="8" t="s">
        <v>123</v>
      </c>
      <c r="F102" s="9">
        <v>6855</v>
      </c>
      <c r="G102" s="9">
        <f>F102*E102*D102</f>
        <v>411300</v>
      </c>
    </row>
    <row r="103" spans="2:7" ht="31.2">
      <c r="B103" s="61" t="s">
        <v>80</v>
      </c>
      <c r="C103" s="63" t="s">
        <v>128</v>
      </c>
      <c r="D103" s="8" t="s">
        <v>129</v>
      </c>
      <c r="E103" s="8" t="s">
        <v>123</v>
      </c>
      <c r="F103" s="9">
        <v>780</v>
      </c>
      <c r="G103" s="9">
        <f>F103*E103*D103</f>
        <v>9360</v>
      </c>
    </row>
    <row r="104" spans="2:7" ht="15.6">
      <c r="B104" s="61" t="s">
        <v>81</v>
      </c>
      <c r="C104" s="61" t="s">
        <v>130</v>
      </c>
      <c r="D104" s="8" t="s">
        <v>129</v>
      </c>
      <c r="E104" s="8" t="s">
        <v>123</v>
      </c>
      <c r="F104" s="9">
        <v>2880</v>
      </c>
      <c r="G104" s="9">
        <f>F104*E104*D104</f>
        <v>34560</v>
      </c>
    </row>
    <row r="105" spans="2:7" ht="15.6">
      <c r="B105" s="61" t="s">
        <v>126</v>
      </c>
      <c r="C105" s="61" t="s">
        <v>131</v>
      </c>
      <c r="D105" s="8" t="s">
        <v>129</v>
      </c>
      <c r="E105" s="8" t="s">
        <v>123</v>
      </c>
      <c r="F105" s="9">
        <v>15350</v>
      </c>
      <c r="G105" s="9">
        <f>F105*E105*D105</f>
        <v>184200</v>
      </c>
    </row>
    <row r="106" spans="2:7" ht="15.6">
      <c r="B106" s="35"/>
      <c r="C106" s="35" t="s">
        <v>26</v>
      </c>
      <c r="D106" s="32" t="s">
        <v>5</v>
      </c>
      <c r="E106" s="32" t="s">
        <v>5</v>
      </c>
      <c r="F106" s="32" t="s">
        <v>5</v>
      </c>
      <c r="G106" s="62">
        <f>SUM(G100:G105)</f>
        <v>1444956</v>
      </c>
    </row>
    <row r="107" spans="2:7" ht="15.6">
      <c r="B107" s="255"/>
      <c r="C107" s="255"/>
      <c r="D107" s="206"/>
      <c r="E107" s="206"/>
      <c r="F107" s="206"/>
      <c r="G107" s="308"/>
    </row>
    <row r="108" spans="2:7" ht="15.6">
      <c r="B108" s="255"/>
      <c r="C108" s="255"/>
      <c r="D108" s="206"/>
      <c r="E108" s="206"/>
      <c r="F108" s="206"/>
      <c r="G108" s="308"/>
    </row>
    <row r="109" spans="2:7" ht="15.6">
      <c r="B109" s="13"/>
      <c r="C109" s="13"/>
      <c r="D109" s="13"/>
      <c r="E109" s="13"/>
      <c r="F109" s="13"/>
      <c r="G109" s="13"/>
    </row>
    <row r="111" spans="2:7" ht="15.6">
      <c r="B111" s="13"/>
      <c r="C111" s="320" t="s">
        <v>91</v>
      </c>
      <c r="D111" s="320"/>
      <c r="E111" s="320"/>
      <c r="F111" s="320"/>
      <c r="G111" s="320"/>
    </row>
    <row r="112" spans="2:7" ht="15.6">
      <c r="B112" s="13"/>
      <c r="C112" s="158"/>
      <c r="D112" s="13"/>
      <c r="E112" s="13"/>
      <c r="F112" s="64"/>
      <c r="G112" s="13"/>
    </row>
    <row r="113" spans="2:7" ht="21.6">
      <c r="B113" s="200" t="s">
        <v>2</v>
      </c>
      <c r="C113" s="200" t="s">
        <v>92</v>
      </c>
      <c r="D113" s="200" t="s">
        <v>93</v>
      </c>
      <c r="E113" s="200" t="s">
        <v>137</v>
      </c>
      <c r="F113" s="65" t="s">
        <v>94</v>
      </c>
      <c r="G113" s="43" t="s">
        <v>90</v>
      </c>
    </row>
    <row r="114" spans="2:7">
      <c r="B114" s="42">
        <v>1</v>
      </c>
      <c r="C114" s="42">
        <v>2</v>
      </c>
      <c r="D114" s="42">
        <v>3</v>
      </c>
      <c r="E114" s="42">
        <v>4</v>
      </c>
      <c r="F114" s="42" t="s">
        <v>81</v>
      </c>
      <c r="G114" s="42">
        <v>6</v>
      </c>
    </row>
    <row r="115" spans="2:7" ht="15.6">
      <c r="B115" s="40" t="s">
        <v>129</v>
      </c>
      <c r="C115" s="67" t="s">
        <v>132</v>
      </c>
      <c r="D115" s="40" t="s">
        <v>1540</v>
      </c>
      <c r="E115" s="34">
        <v>6670</v>
      </c>
      <c r="F115" s="68">
        <v>6.5000000000000002E-2</v>
      </c>
      <c r="G115" s="34">
        <f>(D115*E115)+((D115*E115)*6.5%)</f>
        <v>9151290.3585000001</v>
      </c>
    </row>
    <row r="116" spans="2:7" ht="15.6">
      <c r="B116" s="8"/>
      <c r="C116" s="61"/>
      <c r="D116" s="8"/>
      <c r="E116" s="9"/>
      <c r="F116" s="66"/>
      <c r="G116" s="9"/>
    </row>
    <row r="117" spans="2:7" ht="15.6">
      <c r="B117" s="40" t="s">
        <v>12</v>
      </c>
      <c r="C117" s="67" t="s">
        <v>135</v>
      </c>
      <c r="D117" s="34">
        <f>D118</f>
        <v>2245.25</v>
      </c>
      <c r="E117" s="34">
        <f>E118</f>
        <v>5010.59</v>
      </c>
      <c r="F117" s="34"/>
      <c r="G117" s="34">
        <f>G118</f>
        <v>11981278.9653375</v>
      </c>
    </row>
    <row r="118" spans="2:7" ht="15.6">
      <c r="B118" s="8" t="s">
        <v>16</v>
      </c>
      <c r="C118" s="61" t="s">
        <v>138</v>
      </c>
      <c r="D118" s="9">
        <v>2245.25</v>
      </c>
      <c r="E118" s="9">
        <v>5010.59</v>
      </c>
      <c r="F118" s="66">
        <v>6.5000000000000002E-2</v>
      </c>
      <c r="G118" s="9">
        <f>(D118*E118)+((D118*E118)*6.5%)</f>
        <v>11981278.9653375</v>
      </c>
    </row>
    <row r="119" spans="2:7" ht="15.6">
      <c r="B119" s="8"/>
      <c r="C119" s="61"/>
      <c r="D119" s="8"/>
      <c r="E119" s="9"/>
      <c r="F119" s="66"/>
      <c r="G119" s="9"/>
    </row>
    <row r="120" spans="2:7" ht="15.6">
      <c r="B120" s="40" t="s">
        <v>24</v>
      </c>
      <c r="C120" s="67" t="s">
        <v>134</v>
      </c>
      <c r="D120" s="34">
        <f>D121</f>
        <v>15038.6</v>
      </c>
      <c r="E120" s="34">
        <f>E121</f>
        <v>30.06</v>
      </c>
      <c r="F120" s="34"/>
      <c r="G120" s="34">
        <f>G121</f>
        <v>481444.23654000001</v>
      </c>
    </row>
    <row r="121" spans="2:7" ht="15.6">
      <c r="B121" s="8" t="s">
        <v>75</v>
      </c>
      <c r="C121" s="61" t="s">
        <v>138</v>
      </c>
      <c r="D121" s="9">
        <v>15038.6</v>
      </c>
      <c r="E121" s="9">
        <v>30.06</v>
      </c>
      <c r="F121" s="66">
        <v>6.5000000000000002E-2</v>
      </c>
      <c r="G121" s="9">
        <f>(D121*E121)+((D121*E121)*6.5%)</f>
        <v>481444.23654000001</v>
      </c>
    </row>
    <row r="122" spans="2:7" ht="15.6">
      <c r="B122" s="8"/>
      <c r="C122" s="61"/>
      <c r="D122" s="9"/>
      <c r="E122" s="9"/>
      <c r="F122" s="66"/>
      <c r="G122" s="9"/>
    </row>
    <row r="123" spans="2:7" ht="15.6">
      <c r="B123" s="40" t="s">
        <v>80</v>
      </c>
      <c r="C123" s="67" t="s">
        <v>133</v>
      </c>
      <c r="D123" s="34">
        <f>D124</f>
        <v>15009.19</v>
      </c>
      <c r="E123" s="34">
        <f>E124</f>
        <v>27.93</v>
      </c>
      <c r="F123" s="34"/>
      <c r="G123" s="34">
        <f>G124</f>
        <v>446455.11068550003</v>
      </c>
    </row>
    <row r="124" spans="2:7" ht="15.6">
      <c r="B124" s="8" t="s">
        <v>75</v>
      </c>
      <c r="C124" s="61" t="s">
        <v>138</v>
      </c>
      <c r="D124" s="9">
        <v>15009.19</v>
      </c>
      <c r="E124" s="9">
        <v>27.93</v>
      </c>
      <c r="F124" s="66">
        <v>6.5000000000000002E-2</v>
      </c>
      <c r="G124" s="9">
        <f>(D124*E124)+((D124*E124)*6.5%)</f>
        <v>446455.11068550003</v>
      </c>
    </row>
    <row r="125" spans="2:7" ht="15.6">
      <c r="B125" s="8"/>
      <c r="C125" s="61"/>
      <c r="D125" s="8"/>
      <c r="E125" s="9"/>
      <c r="F125" s="66"/>
      <c r="G125" s="9"/>
    </row>
    <row r="126" spans="2:7" ht="15.6">
      <c r="B126" s="32"/>
      <c r="C126" s="31" t="s">
        <v>26</v>
      </c>
      <c r="D126" s="32" t="s">
        <v>5</v>
      </c>
      <c r="E126" s="32" t="s">
        <v>5</v>
      </c>
      <c r="F126" s="68" t="s">
        <v>5</v>
      </c>
      <c r="G126" s="34">
        <f>G115+G117+G120+G123</f>
        <v>22060468.671063002</v>
      </c>
    </row>
    <row r="131" spans="2:6" ht="15.6">
      <c r="B131" s="13"/>
      <c r="C131" s="320" t="s">
        <v>41</v>
      </c>
      <c r="D131" s="320"/>
      <c r="E131" s="320"/>
      <c r="F131" s="320"/>
    </row>
    <row r="132" spans="2:6" ht="15.6">
      <c r="B132" s="13"/>
      <c r="C132" s="13"/>
      <c r="D132" s="13"/>
      <c r="E132" s="13"/>
      <c r="F132" s="13"/>
    </row>
    <row r="133" spans="2:6" ht="21.6">
      <c r="B133" s="200" t="s">
        <v>2</v>
      </c>
      <c r="C133" s="200" t="s">
        <v>42</v>
      </c>
      <c r="D133" s="200" t="s">
        <v>43</v>
      </c>
      <c r="E133" s="200" t="s">
        <v>58</v>
      </c>
      <c r="F133" s="200" t="s">
        <v>44</v>
      </c>
    </row>
    <row r="134" spans="2:6" ht="15.6">
      <c r="B134" s="5">
        <v>1</v>
      </c>
      <c r="C134" s="5" t="s">
        <v>45</v>
      </c>
      <c r="D134" s="4">
        <v>1</v>
      </c>
      <c r="E134" s="9">
        <v>186666.66</v>
      </c>
      <c r="F134" s="9">
        <v>1120000</v>
      </c>
    </row>
    <row r="135" spans="2:6" ht="15.6">
      <c r="B135" s="5"/>
      <c r="C135" s="5"/>
      <c r="D135" s="5"/>
      <c r="E135" s="11"/>
      <c r="F135" s="11"/>
    </row>
    <row r="136" spans="2:6" ht="15.6">
      <c r="B136" s="5"/>
      <c r="C136" s="5"/>
      <c r="D136" s="5"/>
      <c r="E136" s="11"/>
      <c r="F136" s="11"/>
    </row>
    <row r="137" spans="2:6" ht="15.6">
      <c r="B137" s="35"/>
      <c r="C137" s="35" t="s">
        <v>25</v>
      </c>
      <c r="D137" s="32" t="s">
        <v>5</v>
      </c>
      <c r="E137" s="32" t="s">
        <v>5</v>
      </c>
      <c r="F137" s="32" t="s">
        <v>5</v>
      </c>
    </row>
    <row r="138" spans="2:6" ht="15.6">
      <c r="B138" s="255"/>
      <c r="C138" s="255"/>
      <c r="D138" s="206"/>
      <c r="E138" s="206"/>
      <c r="F138" s="206"/>
    </row>
    <row r="139" spans="2:6">
      <c r="B139" s="321" t="s">
        <v>40</v>
      </c>
      <c r="C139" s="321"/>
      <c r="D139" s="321"/>
      <c r="E139" s="321"/>
      <c r="F139" s="321"/>
    </row>
    <row r="140" spans="2:6">
      <c r="B140" s="201"/>
      <c r="C140" s="12"/>
      <c r="D140" s="12"/>
      <c r="E140" s="12"/>
      <c r="F140" s="12"/>
    </row>
    <row r="141" spans="2:6" ht="21.6">
      <c r="B141" s="202" t="s">
        <v>2</v>
      </c>
      <c r="C141" s="202" t="s">
        <v>34</v>
      </c>
      <c r="D141" s="202" t="s">
        <v>49</v>
      </c>
      <c r="E141" s="200" t="s">
        <v>50</v>
      </c>
      <c r="F141" s="200" t="s">
        <v>51</v>
      </c>
    </row>
    <row r="142" spans="2:6">
      <c r="B142" s="202">
        <v>1</v>
      </c>
      <c r="C142" s="202">
        <v>2</v>
      </c>
      <c r="D142" s="202">
        <v>3</v>
      </c>
      <c r="E142" s="200">
        <v>4</v>
      </c>
      <c r="F142" s="202">
        <v>5</v>
      </c>
    </row>
    <row r="143" spans="2:6">
      <c r="B143" s="15">
        <v>1</v>
      </c>
      <c r="C143" s="16" t="s">
        <v>37</v>
      </c>
      <c r="D143" s="15" t="s">
        <v>196</v>
      </c>
      <c r="E143" s="15">
        <v>1</v>
      </c>
      <c r="F143" s="19">
        <f>790000</f>
        <v>790000</v>
      </c>
    </row>
    <row r="144" spans="2:6">
      <c r="B144" s="15">
        <v>2</v>
      </c>
      <c r="C144" s="16" t="s">
        <v>79</v>
      </c>
      <c r="D144" s="15" t="s">
        <v>196</v>
      </c>
      <c r="E144" s="15">
        <v>1</v>
      </c>
      <c r="F144" s="19">
        <f>520000</f>
        <v>520000</v>
      </c>
    </row>
    <row r="145" spans="2:6">
      <c r="B145" s="15">
        <v>3</v>
      </c>
      <c r="C145" s="16" t="s">
        <v>38</v>
      </c>
      <c r="D145" s="15" t="s">
        <v>196</v>
      </c>
      <c r="E145" s="15">
        <v>2</v>
      </c>
      <c r="F145" s="19">
        <v>30000</v>
      </c>
    </row>
    <row r="146" spans="2:6">
      <c r="B146" s="15">
        <v>4</v>
      </c>
      <c r="C146" s="17" t="s">
        <v>39</v>
      </c>
      <c r="D146" s="15" t="s">
        <v>196</v>
      </c>
      <c r="E146" s="15">
        <v>1</v>
      </c>
      <c r="F146" s="19">
        <f>150000</f>
        <v>150000</v>
      </c>
    </row>
    <row r="147" spans="2:6" ht="28.2">
      <c r="B147" s="15">
        <v>5</v>
      </c>
      <c r="C147" s="18" t="s">
        <v>46</v>
      </c>
      <c r="D147" s="15" t="s">
        <v>196</v>
      </c>
      <c r="E147" s="15">
        <v>1</v>
      </c>
      <c r="F147" s="19">
        <v>130000</v>
      </c>
    </row>
    <row r="148" spans="2:6">
      <c r="B148" s="15">
        <v>6</v>
      </c>
      <c r="C148" s="16" t="s">
        <v>47</v>
      </c>
      <c r="D148" s="15" t="s">
        <v>196</v>
      </c>
      <c r="E148" s="15">
        <v>2</v>
      </c>
      <c r="F148" s="19">
        <f>900000</f>
        <v>900000</v>
      </c>
    </row>
    <row r="149" spans="2:6">
      <c r="B149" s="78">
        <v>7</v>
      </c>
      <c r="C149" s="82" t="s">
        <v>140</v>
      </c>
      <c r="D149" s="78" t="s">
        <v>196</v>
      </c>
      <c r="E149" s="78"/>
      <c r="F149" s="80">
        <f>SUM(F150:F164)</f>
        <v>0</v>
      </c>
    </row>
    <row r="150" spans="2:6" hidden="1">
      <c r="B150" s="76" t="s">
        <v>143</v>
      </c>
      <c r="C150" s="17" t="s">
        <v>141</v>
      </c>
      <c r="D150" s="73" t="s">
        <v>127</v>
      </c>
      <c r="E150" s="73">
        <v>1</v>
      </c>
      <c r="F150" s="74">
        <v>0</v>
      </c>
    </row>
    <row r="151" spans="2:6" hidden="1">
      <c r="B151" s="76" t="s">
        <v>144</v>
      </c>
      <c r="C151" s="17" t="s">
        <v>142</v>
      </c>
      <c r="D151" s="73" t="s">
        <v>127</v>
      </c>
      <c r="E151" s="73">
        <v>1</v>
      </c>
      <c r="F151" s="74">
        <v>0</v>
      </c>
    </row>
    <row r="152" spans="2:6" hidden="1">
      <c r="B152" s="76" t="s">
        <v>145</v>
      </c>
      <c r="C152" s="17" t="s">
        <v>155</v>
      </c>
      <c r="D152" s="73" t="s">
        <v>127</v>
      </c>
      <c r="E152" s="73">
        <v>1</v>
      </c>
      <c r="F152" s="74">
        <v>0</v>
      </c>
    </row>
    <row r="153" spans="2:6" hidden="1">
      <c r="B153" s="76" t="s">
        <v>146</v>
      </c>
      <c r="C153" s="17" t="s">
        <v>156</v>
      </c>
      <c r="D153" s="73" t="s">
        <v>127</v>
      </c>
      <c r="E153" s="73">
        <v>1</v>
      </c>
      <c r="F153" s="74"/>
    </row>
    <row r="154" spans="2:6" hidden="1">
      <c r="B154" s="76" t="s">
        <v>147</v>
      </c>
      <c r="C154" s="17" t="s">
        <v>150</v>
      </c>
      <c r="D154" s="73" t="s">
        <v>127</v>
      </c>
      <c r="E154" s="73">
        <v>1</v>
      </c>
      <c r="F154" s="74">
        <v>0</v>
      </c>
    </row>
    <row r="155" spans="2:6" hidden="1">
      <c r="B155" s="76" t="s">
        <v>148</v>
      </c>
      <c r="C155" s="17" t="s">
        <v>149</v>
      </c>
      <c r="D155" s="73" t="s">
        <v>127</v>
      </c>
      <c r="E155" s="73">
        <v>1</v>
      </c>
      <c r="F155" s="74">
        <v>0</v>
      </c>
    </row>
    <row r="156" spans="2:6" hidden="1">
      <c r="B156" s="76" t="s">
        <v>151</v>
      </c>
      <c r="C156" s="17" t="s">
        <v>152</v>
      </c>
      <c r="D156" s="73" t="s">
        <v>127</v>
      </c>
      <c r="E156" s="73">
        <v>1</v>
      </c>
      <c r="F156" s="74">
        <v>0</v>
      </c>
    </row>
    <row r="157" spans="2:6" hidden="1">
      <c r="B157" s="76" t="s">
        <v>153</v>
      </c>
      <c r="C157" s="20" t="s">
        <v>154</v>
      </c>
      <c r="D157" s="73" t="s">
        <v>127</v>
      </c>
      <c r="E157" s="73">
        <v>1</v>
      </c>
      <c r="F157" s="74">
        <v>0</v>
      </c>
    </row>
    <row r="158" spans="2:6" ht="28.2" hidden="1">
      <c r="B158" s="76" t="s">
        <v>157</v>
      </c>
      <c r="C158" s="20" t="s">
        <v>158</v>
      </c>
      <c r="D158" s="73" t="s">
        <v>127</v>
      </c>
      <c r="E158" s="73">
        <v>2</v>
      </c>
      <c r="F158" s="74"/>
    </row>
    <row r="159" spans="2:6" hidden="1">
      <c r="B159" s="76" t="s">
        <v>159</v>
      </c>
      <c r="C159" s="20" t="s">
        <v>161</v>
      </c>
      <c r="D159" s="73" t="s">
        <v>127</v>
      </c>
      <c r="E159" s="73">
        <v>2</v>
      </c>
      <c r="F159" s="74"/>
    </row>
    <row r="160" spans="2:6" hidden="1">
      <c r="B160" s="76" t="s">
        <v>160</v>
      </c>
      <c r="C160" s="20" t="s">
        <v>162</v>
      </c>
      <c r="D160" s="73" t="s">
        <v>127</v>
      </c>
      <c r="E160" s="73">
        <v>1</v>
      </c>
      <c r="F160" s="74"/>
    </row>
    <row r="161" spans="2:6" hidden="1">
      <c r="B161" s="76" t="s">
        <v>163</v>
      </c>
      <c r="C161" s="20" t="s">
        <v>164</v>
      </c>
      <c r="D161" s="73" t="s">
        <v>127</v>
      </c>
      <c r="E161" s="73">
        <v>1</v>
      </c>
      <c r="F161" s="74"/>
    </row>
    <row r="162" spans="2:6" hidden="1">
      <c r="B162" s="76" t="s">
        <v>165</v>
      </c>
      <c r="C162" s="20" t="s">
        <v>166</v>
      </c>
      <c r="D162" s="73" t="s">
        <v>127</v>
      </c>
      <c r="E162" s="73">
        <v>1</v>
      </c>
      <c r="F162" s="74"/>
    </row>
    <row r="163" spans="2:6" hidden="1">
      <c r="B163" s="76" t="s">
        <v>167</v>
      </c>
      <c r="C163" s="20" t="s">
        <v>168</v>
      </c>
      <c r="D163" s="73" t="s">
        <v>127</v>
      </c>
      <c r="E163" s="73">
        <v>1</v>
      </c>
      <c r="F163" s="74"/>
    </row>
    <row r="164" spans="2:6" hidden="1">
      <c r="B164" s="76" t="s">
        <v>169</v>
      </c>
      <c r="C164" s="20" t="s">
        <v>170</v>
      </c>
      <c r="D164" s="73" t="s">
        <v>127</v>
      </c>
      <c r="E164" s="73">
        <v>1</v>
      </c>
      <c r="F164" s="74"/>
    </row>
    <row r="165" spans="2:6">
      <c r="B165" s="81" t="s">
        <v>183</v>
      </c>
      <c r="C165" s="20" t="s">
        <v>184</v>
      </c>
      <c r="D165" s="15" t="s">
        <v>196</v>
      </c>
      <c r="E165" s="73">
        <v>3</v>
      </c>
      <c r="F165" s="74">
        <f>95000</f>
        <v>95000</v>
      </c>
    </row>
    <row r="166" spans="2:6">
      <c r="B166" s="81" t="s">
        <v>185</v>
      </c>
      <c r="C166" s="20" t="s">
        <v>186</v>
      </c>
      <c r="D166" s="15" t="s">
        <v>196</v>
      </c>
      <c r="E166" s="73">
        <v>2</v>
      </c>
      <c r="F166" s="74">
        <f>407000</f>
        <v>407000</v>
      </c>
    </row>
    <row r="167" spans="2:6">
      <c r="B167" s="81" t="s">
        <v>191</v>
      </c>
      <c r="C167" s="20" t="s">
        <v>192</v>
      </c>
      <c r="D167" s="15" t="s">
        <v>196</v>
      </c>
      <c r="E167" s="73">
        <v>3</v>
      </c>
      <c r="F167" s="74">
        <f>60000</f>
        <v>60000</v>
      </c>
    </row>
    <row r="168" spans="2:6">
      <c r="B168" s="81" t="s">
        <v>193</v>
      </c>
      <c r="C168" s="20" t="s">
        <v>194</v>
      </c>
      <c r="D168" s="15" t="s">
        <v>196</v>
      </c>
      <c r="E168" s="73">
        <v>1</v>
      </c>
      <c r="F168" s="74">
        <f>100000</f>
        <v>100000</v>
      </c>
    </row>
    <row r="169" spans="2:6">
      <c r="B169" s="81" t="s">
        <v>123</v>
      </c>
      <c r="C169" s="20" t="s">
        <v>195</v>
      </c>
      <c r="D169" s="15" t="s">
        <v>196</v>
      </c>
      <c r="E169" s="73">
        <v>3</v>
      </c>
      <c r="F169" s="74">
        <f>1017652.55</f>
        <v>1017652.55</v>
      </c>
    </row>
    <row r="170" spans="2:6">
      <c r="B170" s="71"/>
      <c r="C170" s="70" t="s">
        <v>26</v>
      </c>
      <c r="D170" s="70"/>
      <c r="E170" s="71" t="s">
        <v>5</v>
      </c>
      <c r="F170" s="72">
        <f>SUM(F143:F169)</f>
        <v>4199652.55</v>
      </c>
    </row>
    <row r="172" spans="2:6">
      <c r="B172" s="321" t="s">
        <v>48</v>
      </c>
      <c r="C172" s="321"/>
      <c r="D172" s="321"/>
      <c r="E172" s="321"/>
    </row>
    <row r="173" spans="2:6">
      <c r="B173" s="12"/>
      <c r="C173" s="12"/>
      <c r="D173" s="12"/>
      <c r="E173" s="12"/>
    </row>
    <row r="174" spans="2:6">
      <c r="B174" s="202" t="s">
        <v>2</v>
      </c>
      <c r="C174" s="202" t="s">
        <v>34</v>
      </c>
      <c r="D174" s="200" t="s">
        <v>35</v>
      </c>
      <c r="E174" s="200" t="s">
        <v>36</v>
      </c>
    </row>
    <row r="175" spans="2:6">
      <c r="B175" s="202">
        <v>1</v>
      </c>
      <c r="C175" s="202">
        <v>2</v>
      </c>
      <c r="D175" s="200">
        <v>3</v>
      </c>
      <c r="E175" s="200">
        <v>4</v>
      </c>
    </row>
    <row r="176" spans="2:6">
      <c r="B176" s="15">
        <v>1</v>
      </c>
      <c r="C176" s="16" t="s">
        <v>52</v>
      </c>
      <c r="D176" s="15">
        <v>1</v>
      </c>
      <c r="E176" s="19">
        <v>15000</v>
      </c>
    </row>
    <row r="177" spans="2:6">
      <c r="B177" s="78">
        <v>2</v>
      </c>
      <c r="C177" s="79" t="s">
        <v>171</v>
      </c>
      <c r="D177" s="78"/>
      <c r="E177" s="80">
        <f>SUM(E178:E181)</f>
        <v>618348</v>
      </c>
    </row>
    <row r="178" spans="2:6">
      <c r="B178" s="83" t="s">
        <v>16</v>
      </c>
      <c r="C178" s="17" t="s">
        <v>172</v>
      </c>
      <c r="D178" s="15">
        <v>4</v>
      </c>
      <c r="E178" s="19">
        <f>132548</f>
        <v>132548</v>
      </c>
    </row>
    <row r="179" spans="2:6">
      <c r="B179" s="83" t="s">
        <v>18</v>
      </c>
      <c r="C179" s="16" t="s">
        <v>174</v>
      </c>
      <c r="D179" s="15">
        <v>2</v>
      </c>
      <c r="E179" s="19">
        <f>215000</f>
        <v>215000</v>
      </c>
    </row>
    <row r="180" spans="2:6">
      <c r="B180" s="83" t="s">
        <v>19</v>
      </c>
      <c r="C180" s="16" t="s">
        <v>176</v>
      </c>
      <c r="D180" s="15">
        <v>1</v>
      </c>
      <c r="E180" s="19">
        <f>28300*4</f>
        <v>113200</v>
      </c>
    </row>
    <row r="181" spans="2:6">
      <c r="B181" s="83" t="s">
        <v>23</v>
      </c>
      <c r="C181" s="16" t="s">
        <v>178</v>
      </c>
      <c r="D181" s="15">
        <v>1</v>
      </c>
      <c r="E181" s="19">
        <f>4800*12+50000+50000</f>
        <v>157600</v>
      </c>
    </row>
    <row r="182" spans="2:6">
      <c r="B182" s="77" t="s">
        <v>24</v>
      </c>
      <c r="C182" s="16" t="s">
        <v>1541</v>
      </c>
      <c r="D182" s="15">
        <v>1</v>
      </c>
      <c r="E182" s="19">
        <f>4957708.36-167000</f>
        <v>4790708.3600000003</v>
      </c>
    </row>
    <row r="183" spans="2:6" ht="28.2">
      <c r="B183" s="77" t="s">
        <v>80</v>
      </c>
      <c r="C183" s="18" t="s">
        <v>188</v>
      </c>
      <c r="D183" s="15">
        <v>1</v>
      </c>
      <c r="E183" s="19">
        <v>35000</v>
      </c>
    </row>
    <row r="184" spans="2:6">
      <c r="B184" s="77" t="s">
        <v>81</v>
      </c>
      <c r="C184" s="18" t="s">
        <v>190</v>
      </c>
      <c r="D184" s="15">
        <v>1</v>
      </c>
      <c r="E184" s="19">
        <v>70000</v>
      </c>
    </row>
    <row r="185" spans="2:6">
      <c r="B185" s="69"/>
      <c r="C185" s="70" t="s">
        <v>26</v>
      </c>
      <c r="D185" s="71" t="s">
        <v>5</v>
      </c>
      <c r="E185" s="72">
        <f>E176+E177+E182+E183+E184+1207921.17</f>
        <v>6736977.5300000003</v>
      </c>
    </row>
    <row r="187" spans="2:6">
      <c r="B187" s="321" t="s">
        <v>56</v>
      </c>
      <c r="C187" s="321"/>
      <c r="D187" s="321"/>
      <c r="E187" s="321"/>
      <c r="F187" s="321"/>
    </row>
    <row r="188" spans="2:6">
      <c r="B188" s="12"/>
      <c r="C188" s="12"/>
      <c r="D188" s="12"/>
      <c r="E188" s="12"/>
      <c r="F188" s="12"/>
    </row>
    <row r="189" spans="2:6">
      <c r="B189" s="12"/>
      <c r="C189" s="12"/>
      <c r="D189" s="12"/>
      <c r="E189" s="12"/>
      <c r="F189" s="12"/>
    </row>
    <row r="190" spans="2:6" ht="21.6">
      <c r="B190" s="202" t="s">
        <v>2</v>
      </c>
      <c r="C190" s="202" t="s">
        <v>34</v>
      </c>
      <c r="D190" s="202" t="s">
        <v>53</v>
      </c>
      <c r="E190" s="200" t="s">
        <v>54</v>
      </c>
      <c r="F190" s="200" t="s">
        <v>55</v>
      </c>
    </row>
    <row r="191" spans="2:6">
      <c r="B191" s="202"/>
      <c r="C191" s="202">
        <v>1</v>
      </c>
      <c r="D191" s="202">
        <v>2</v>
      </c>
      <c r="E191" s="200">
        <v>3</v>
      </c>
      <c r="F191" s="202">
        <v>4</v>
      </c>
    </row>
    <row r="192" spans="2:6">
      <c r="B192" s="15">
        <v>1</v>
      </c>
      <c r="C192" s="16" t="s">
        <v>831</v>
      </c>
      <c r="D192" s="16">
        <v>1</v>
      </c>
      <c r="E192" s="19">
        <v>388000</v>
      </c>
      <c r="F192" s="19">
        <v>388000</v>
      </c>
    </row>
    <row r="193" spans="2:6">
      <c r="B193" s="15">
        <v>2</v>
      </c>
      <c r="C193" s="16" t="s">
        <v>832</v>
      </c>
      <c r="D193" s="16">
        <v>100</v>
      </c>
      <c r="E193" s="19">
        <v>8000</v>
      </c>
      <c r="F193" s="19">
        <f>8000000+3000000-183715.4</f>
        <v>10816284.6</v>
      </c>
    </row>
    <row r="194" spans="2:6">
      <c r="B194" s="15">
        <v>3</v>
      </c>
      <c r="C194" s="16" t="s">
        <v>833</v>
      </c>
      <c r="D194" s="16">
        <v>1000</v>
      </c>
      <c r="E194" s="19">
        <v>3000</v>
      </c>
      <c r="F194" s="19">
        <v>3000000</v>
      </c>
    </row>
    <row r="195" spans="2:6" ht="28.2">
      <c r="B195" s="15">
        <v>4</v>
      </c>
      <c r="C195" s="20" t="s">
        <v>834</v>
      </c>
      <c r="D195" s="17">
        <v>50</v>
      </c>
      <c r="E195" s="19">
        <v>16000</v>
      </c>
      <c r="F195" s="19">
        <v>350000</v>
      </c>
    </row>
    <row r="196" spans="2:6">
      <c r="B196" s="15">
        <v>5</v>
      </c>
      <c r="C196" s="18" t="s">
        <v>57</v>
      </c>
      <c r="D196" s="18">
        <v>30</v>
      </c>
      <c r="E196" s="19">
        <v>2200</v>
      </c>
      <c r="F196" s="19">
        <v>2307435</v>
      </c>
    </row>
    <row r="197" spans="2:6">
      <c r="B197" s="15">
        <v>6</v>
      </c>
      <c r="C197" s="16" t="s">
        <v>835</v>
      </c>
      <c r="D197" s="16">
        <v>150000</v>
      </c>
      <c r="E197" s="19">
        <v>52.6</v>
      </c>
      <c r="F197" s="19">
        <v>5890000</v>
      </c>
    </row>
    <row r="198" spans="2:6">
      <c r="B198" s="15">
        <v>7</v>
      </c>
      <c r="C198" s="16" t="s">
        <v>836</v>
      </c>
      <c r="D198" s="16">
        <v>10000</v>
      </c>
      <c r="E198" s="19">
        <v>1100</v>
      </c>
      <c r="F198" s="19">
        <f>15284000</f>
        <v>15284000</v>
      </c>
    </row>
    <row r="199" spans="2:6">
      <c r="B199" s="15">
        <v>8</v>
      </c>
      <c r="C199" s="16" t="s">
        <v>837</v>
      </c>
      <c r="D199" s="16">
        <v>10000</v>
      </c>
      <c r="E199" s="19">
        <v>1010</v>
      </c>
      <c r="F199" s="19">
        <v>12630672.23</v>
      </c>
    </row>
    <row r="200" spans="2:6">
      <c r="B200" s="15">
        <v>9</v>
      </c>
      <c r="C200" s="16" t="s">
        <v>838</v>
      </c>
      <c r="D200" s="16">
        <v>1000</v>
      </c>
      <c r="E200" s="19">
        <v>465</v>
      </c>
      <c r="F200" s="19">
        <v>165000</v>
      </c>
    </row>
    <row r="201" spans="2:6">
      <c r="B201" s="15">
        <v>10</v>
      </c>
      <c r="C201" s="16" t="s">
        <v>839</v>
      </c>
      <c r="D201" s="16">
        <v>1000</v>
      </c>
      <c r="E201" s="19">
        <v>400</v>
      </c>
      <c r="F201" s="19">
        <f>100000</f>
        <v>100000</v>
      </c>
    </row>
    <row r="202" spans="2:6">
      <c r="B202" s="15">
        <v>11</v>
      </c>
      <c r="C202" s="16" t="s">
        <v>840</v>
      </c>
      <c r="D202" s="16">
        <v>1000</v>
      </c>
      <c r="E202" s="19">
        <v>1000</v>
      </c>
      <c r="F202" s="19">
        <v>700000</v>
      </c>
    </row>
    <row r="203" spans="2:6">
      <c r="B203" s="15">
        <v>12</v>
      </c>
      <c r="C203" s="16" t="s">
        <v>841</v>
      </c>
      <c r="D203" s="16">
        <v>100</v>
      </c>
      <c r="E203" s="19">
        <v>6004</v>
      </c>
      <c r="F203" s="19">
        <v>603595.17000000004</v>
      </c>
    </row>
    <row r="204" spans="2:6">
      <c r="B204" s="15">
        <v>13</v>
      </c>
      <c r="C204" s="16" t="s">
        <v>1542</v>
      </c>
      <c r="D204" s="16">
        <v>100</v>
      </c>
      <c r="E204" s="19">
        <v>1000</v>
      </c>
      <c r="F204" s="19">
        <v>100000</v>
      </c>
    </row>
    <row r="205" spans="2:6">
      <c r="B205" s="15">
        <v>14</v>
      </c>
      <c r="C205" s="16" t="s">
        <v>842</v>
      </c>
      <c r="D205" s="16">
        <v>1000</v>
      </c>
      <c r="E205" s="19">
        <v>500</v>
      </c>
      <c r="F205" s="19">
        <v>400000</v>
      </c>
    </row>
    <row r="206" spans="2:6">
      <c r="B206" s="15">
        <v>15</v>
      </c>
      <c r="C206" s="16" t="s">
        <v>1545</v>
      </c>
      <c r="D206" s="16">
        <v>100</v>
      </c>
      <c r="E206" s="19">
        <v>10000</v>
      </c>
      <c r="F206" s="19">
        <v>100000</v>
      </c>
    </row>
    <row r="207" spans="2:6">
      <c r="B207" s="15">
        <v>16</v>
      </c>
      <c r="C207" s="16" t="s">
        <v>1543</v>
      </c>
      <c r="D207" s="16">
        <v>1000</v>
      </c>
      <c r="E207" s="19">
        <v>4000</v>
      </c>
      <c r="F207" s="19">
        <f>4091340+1004420</f>
        <v>5095760</v>
      </c>
    </row>
    <row r="208" spans="2:6">
      <c r="B208" s="15">
        <v>17</v>
      </c>
      <c r="C208" s="16" t="s">
        <v>844</v>
      </c>
      <c r="D208" s="16">
        <v>1000</v>
      </c>
      <c r="E208" s="19">
        <v>400</v>
      </c>
      <c r="F208" s="19">
        <v>200000</v>
      </c>
    </row>
    <row r="209" spans="2:6">
      <c r="B209" s="15">
        <v>18</v>
      </c>
      <c r="C209" s="16" t="s">
        <v>1544</v>
      </c>
      <c r="D209" s="16">
        <v>1000</v>
      </c>
      <c r="E209" s="19">
        <v>2000</v>
      </c>
      <c r="F209" s="19">
        <v>209990</v>
      </c>
    </row>
    <row r="210" spans="2:6">
      <c r="B210" s="15">
        <v>19</v>
      </c>
      <c r="C210" s="16" t="s">
        <v>845</v>
      </c>
      <c r="D210" s="16">
        <v>2</v>
      </c>
      <c r="E210" s="19">
        <v>50000</v>
      </c>
      <c r="F210" s="19">
        <v>850000</v>
      </c>
    </row>
    <row r="211" spans="2:6">
      <c r="B211" s="15">
        <v>20</v>
      </c>
      <c r="C211" s="16" t="s">
        <v>189</v>
      </c>
      <c r="D211" s="16">
        <v>1000</v>
      </c>
      <c r="E211" s="19">
        <v>500</v>
      </c>
      <c r="F211" s="19">
        <v>658141</v>
      </c>
    </row>
    <row r="212" spans="2:6">
      <c r="B212" s="69"/>
      <c r="C212" s="70" t="s">
        <v>26</v>
      </c>
      <c r="D212" s="70"/>
      <c r="E212" s="71" t="s">
        <v>5</v>
      </c>
      <c r="F212" s="72">
        <f>SUM(F192:F210)</f>
        <v>59190737</v>
      </c>
    </row>
  </sheetData>
  <mergeCells count="10">
    <mergeCell ref="C51:E51"/>
    <mergeCell ref="B35:E35"/>
    <mergeCell ref="B3:G3"/>
    <mergeCell ref="C57:F57"/>
    <mergeCell ref="B187:F187"/>
    <mergeCell ref="B91:F91"/>
    <mergeCell ref="C111:G111"/>
    <mergeCell ref="C131:F131"/>
    <mergeCell ref="B139:F139"/>
    <mergeCell ref="B172:E172"/>
  </mergeCells>
  <pageMargins left="0.70866141732283472" right="0.31496062992125984" top="0.35433070866141736" bottom="0.35433070866141736" header="0.31496062992125984" footer="0.31496062992125984"/>
  <pageSetup paperSize="9" scale="85" orientation="landscape" copies="2" r:id="rId1"/>
</worksheet>
</file>

<file path=xl/worksheets/sheet7.xml><?xml version="1.0" encoding="utf-8"?>
<worksheet xmlns="http://schemas.openxmlformats.org/spreadsheetml/2006/main" xmlns:r="http://schemas.openxmlformats.org/officeDocument/2006/relationships">
  <dimension ref="A2:L11"/>
  <sheetViews>
    <sheetView workbookViewId="0">
      <selection activeCell="D11" sqref="D11"/>
    </sheetView>
  </sheetViews>
  <sheetFormatPr defaultRowHeight="14.4"/>
  <cols>
    <col min="1" max="1" width="25.6640625" style="87" customWidth="1"/>
    <col min="2" max="2" width="6" style="75" customWidth="1"/>
    <col min="3" max="3" width="6.5546875" style="75" customWidth="1"/>
    <col min="4" max="4" width="15.33203125" style="107" customWidth="1"/>
    <col min="5" max="5" width="13.5546875" style="107" customWidth="1"/>
    <col min="6" max="6" width="15.44140625" style="107" customWidth="1"/>
    <col min="7" max="7" width="13.5546875" style="107" customWidth="1"/>
    <col min="8" max="8" width="13.6640625" style="107" customWidth="1"/>
    <col min="9" max="9" width="14.6640625" style="107" customWidth="1"/>
    <col min="10" max="12" width="10.44140625" style="107" customWidth="1"/>
  </cols>
  <sheetData>
    <row r="2" spans="1:12">
      <c r="A2" s="321" t="s">
        <v>1550</v>
      </c>
      <c r="B2" s="321"/>
      <c r="C2" s="321"/>
      <c r="D2" s="321"/>
      <c r="E2" s="321"/>
      <c r="F2" s="321"/>
      <c r="G2" s="321"/>
      <c r="H2" s="321"/>
      <c r="I2" s="321"/>
      <c r="J2" s="321"/>
      <c r="K2" s="321"/>
      <c r="L2" s="321"/>
    </row>
    <row r="4" spans="1:12" s="92" customFormat="1" ht="18.75" customHeight="1">
      <c r="A4" s="329" t="s">
        <v>42</v>
      </c>
      <c r="B4" s="329" t="s">
        <v>205</v>
      </c>
      <c r="C4" s="329" t="s">
        <v>240</v>
      </c>
      <c r="D4" s="331" t="s">
        <v>241</v>
      </c>
      <c r="E4" s="331"/>
      <c r="F4" s="331"/>
      <c r="G4" s="331"/>
      <c r="H4" s="331"/>
      <c r="I4" s="331"/>
      <c r="J4" s="331"/>
      <c r="K4" s="331"/>
      <c r="L4" s="331"/>
    </row>
    <row r="5" spans="1:12" s="93" customFormat="1" ht="10.199999999999999">
      <c r="A5" s="329"/>
      <c r="B5" s="329"/>
      <c r="C5" s="329"/>
      <c r="D5" s="330" t="s">
        <v>242</v>
      </c>
      <c r="E5" s="330"/>
      <c r="F5" s="330"/>
      <c r="G5" s="330" t="s">
        <v>115</v>
      </c>
      <c r="H5" s="330"/>
      <c r="I5" s="330"/>
      <c r="J5" s="330"/>
      <c r="K5" s="330"/>
      <c r="L5" s="330"/>
    </row>
    <row r="6" spans="1:12" s="92" customFormat="1" ht="45.75" customHeight="1">
      <c r="A6" s="329"/>
      <c r="B6" s="329"/>
      <c r="C6" s="329"/>
      <c r="D6" s="304" t="s">
        <v>1533</v>
      </c>
      <c r="E6" s="304" t="s">
        <v>1534</v>
      </c>
      <c r="F6" s="304" t="s">
        <v>1535</v>
      </c>
      <c r="G6" s="331" t="s">
        <v>904</v>
      </c>
      <c r="H6" s="331"/>
      <c r="I6" s="331"/>
      <c r="J6" s="331" t="s">
        <v>903</v>
      </c>
      <c r="K6" s="331"/>
      <c r="L6" s="331"/>
    </row>
    <row r="7" spans="1:12" s="92" customFormat="1" ht="33.75" customHeight="1">
      <c r="A7" s="329"/>
      <c r="B7" s="329"/>
      <c r="C7" s="329"/>
      <c r="D7" s="106"/>
      <c r="E7" s="106"/>
      <c r="F7" s="106"/>
      <c r="G7" s="304" t="s">
        <v>1533</v>
      </c>
      <c r="H7" s="304" t="s">
        <v>1534</v>
      </c>
      <c r="I7" s="304" t="s">
        <v>1536</v>
      </c>
      <c r="J7" s="304" t="s">
        <v>1533</v>
      </c>
      <c r="K7" s="304" t="s">
        <v>1534</v>
      </c>
      <c r="L7" s="304" t="s">
        <v>1536</v>
      </c>
    </row>
    <row r="8" spans="1:12" s="110" customFormat="1" ht="10.199999999999999">
      <c r="A8" s="108">
        <v>1</v>
      </c>
      <c r="B8" s="109">
        <v>2</v>
      </c>
      <c r="C8" s="109">
        <v>3</v>
      </c>
      <c r="D8" s="109">
        <v>4</v>
      </c>
      <c r="E8" s="109">
        <v>5</v>
      </c>
      <c r="F8" s="109">
        <v>6</v>
      </c>
      <c r="G8" s="109">
        <v>7</v>
      </c>
      <c r="H8" s="109">
        <v>8</v>
      </c>
      <c r="I8" s="109">
        <v>9</v>
      </c>
      <c r="J8" s="109">
        <v>10</v>
      </c>
      <c r="K8" s="109">
        <v>11</v>
      </c>
      <c r="L8" s="109">
        <v>12</v>
      </c>
    </row>
    <row r="9" spans="1:12" ht="43.5" customHeight="1">
      <c r="A9" s="18" t="s">
        <v>243</v>
      </c>
      <c r="B9" s="77" t="s">
        <v>244</v>
      </c>
      <c r="C9" s="15" t="s">
        <v>5</v>
      </c>
      <c r="D9" s="179">
        <f>G9+J9</f>
        <v>134852487.38999999</v>
      </c>
      <c r="E9" s="179">
        <f t="shared" ref="E9:I9" si="0">E10+E11</f>
        <v>134852487.38999999</v>
      </c>
      <c r="F9" s="179">
        <f t="shared" si="0"/>
        <v>134852487.38999999</v>
      </c>
      <c r="G9" s="179">
        <f t="shared" si="0"/>
        <v>134852487.38999999</v>
      </c>
      <c r="H9" s="179">
        <f t="shared" si="0"/>
        <v>134852487.38999999</v>
      </c>
      <c r="I9" s="179">
        <f t="shared" si="0"/>
        <v>134852487.38999999</v>
      </c>
      <c r="J9" s="179"/>
      <c r="K9" s="19"/>
      <c r="L9" s="19"/>
    </row>
    <row r="10" spans="1:12" ht="63.75" customHeight="1">
      <c r="A10" s="6" t="s">
        <v>245</v>
      </c>
      <c r="B10" s="77" t="s">
        <v>246</v>
      </c>
      <c r="C10" s="15" t="s">
        <v>5</v>
      </c>
      <c r="D10" s="179">
        <f>G10+J10</f>
        <v>7805334.2699999996</v>
      </c>
      <c r="E10" s="179">
        <f t="shared" ref="E10:F11" si="1">H10+K10</f>
        <v>7805334.2699999996</v>
      </c>
      <c r="F10" s="179">
        <f t="shared" si="1"/>
        <v>7805334.2699999996</v>
      </c>
      <c r="G10" s="179">
        <v>7805334.2699999996</v>
      </c>
      <c r="H10" s="179">
        <f>G10</f>
        <v>7805334.2699999996</v>
      </c>
      <c r="I10" s="179">
        <f>G10</f>
        <v>7805334.2699999996</v>
      </c>
      <c r="J10" s="179"/>
      <c r="K10" s="179"/>
      <c r="L10" s="179"/>
    </row>
    <row r="11" spans="1:12" ht="46.8">
      <c r="A11" s="6" t="s">
        <v>247</v>
      </c>
      <c r="B11" s="77" t="s">
        <v>248</v>
      </c>
      <c r="C11" s="15">
        <v>2019</v>
      </c>
      <c r="D11" s="179">
        <f>G11+J11</f>
        <v>127047153.11999999</v>
      </c>
      <c r="E11" s="179">
        <f t="shared" si="1"/>
        <v>127047153.11999999</v>
      </c>
      <c r="F11" s="179">
        <f t="shared" si="1"/>
        <v>127047153.11999999</v>
      </c>
      <c r="G11" s="179">
        <f>134852487.39-G10</f>
        <v>127047153.11999999</v>
      </c>
      <c r="H11" s="179">
        <f>G11</f>
        <v>127047153.11999999</v>
      </c>
      <c r="I11" s="179">
        <f>G11</f>
        <v>127047153.11999999</v>
      </c>
      <c r="J11" s="179"/>
      <c r="K11" s="179"/>
      <c r="L11" s="179"/>
    </row>
  </sheetData>
  <mergeCells count="9">
    <mergeCell ref="B4:B7"/>
    <mergeCell ref="A4:A7"/>
    <mergeCell ref="A2:L2"/>
    <mergeCell ref="D5:F5"/>
    <mergeCell ref="D4:L4"/>
    <mergeCell ref="G5:L5"/>
    <mergeCell ref="G6:I6"/>
    <mergeCell ref="J6:L6"/>
    <mergeCell ref="C4:C7"/>
  </mergeCells>
  <pageMargins left="0.11811023622047245" right="0.11811023622047245" top="0.74803149606299213" bottom="0.74803149606299213" header="0.31496062992125984" footer="0.31496062992125984"/>
  <pageSetup paperSize="9" scale="85" orientation="landscape" r:id="rId1"/>
</worksheet>
</file>

<file path=xl/worksheets/sheet8.xml><?xml version="1.0" encoding="utf-8"?>
<worksheet xmlns="http://schemas.openxmlformats.org/spreadsheetml/2006/main" xmlns:r="http://schemas.openxmlformats.org/officeDocument/2006/relationships">
  <dimension ref="B1:I29"/>
  <sheetViews>
    <sheetView workbookViewId="0">
      <selection activeCell="D13" sqref="D13"/>
    </sheetView>
  </sheetViews>
  <sheetFormatPr defaultRowHeight="14.4"/>
  <cols>
    <col min="1" max="1" width="18.44140625" customWidth="1"/>
    <col min="2" max="2" width="33.5546875" customWidth="1"/>
    <col min="3" max="3" width="25.5546875" customWidth="1"/>
    <col min="4" max="4" width="37.6640625" customWidth="1"/>
  </cols>
  <sheetData>
    <row r="1" spans="2:6" ht="28.5" customHeight="1">
      <c r="B1" s="322" t="s">
        <v>1530</v>
      </c>
      <c r="C1" s="322"/>
      <c r="D1" s="322"/>
    </row>
    <row r="2" spans="2:6" ht="13.5" customHeight="1">
      <c r="B2" s="332" t="s">
        <v>249</v>
      </c>
      <c r="C2" s="332"/>
      <c r="D2" s="332"/>
    </row>
    <row r="3" spans="2:6" s="91" customFormat="1" ht="23.25" customHeight="1">
      <c r="B3" s="282" t="s">
        <v>42</v>
      </c>
      <c r="C3" s="282" t="s">
        <v>205</v>
      </c>
      <c r="D3" s="282" t="s">
        <v>250</v>
      </c>
    </row>
    <row r="4" spans="2:6" s="105" customFormat="1" ht="8.4">
      <c r="B4" s="284">
        <v>1</v>
      </c>
      <c r="C4" s="284">
        <v>2</v>
      </c>
      <c r="D4" s="284">
        <v>3</v>
      </c>
    </row>
    <row r="5" spans="2:6">
      <c r="B5" s="16" t="s">
        <v>238</v>
      </c>
      <c r="C5" s="77" t="s">
        <v>253</v>
      </c>
      <c r="D5" s="19">
        <v>2823702.4</v>
      </c>
    </row>
    <row r="6" spans="2:6">
      <c r="B6" s="16" t="s">
        <v>239</v>
      </c>
      <c r="C6" s="77" t="s">
        <v>254</v>
      </c>
      <c r="D6" s="74">
        <f>D5+D7-D8</f>
        <v>0</v>
      </c>
      <c r="F6" t="s">
        <v>1524</v>
      </c>
    </row>
    <row r="7" spans="2:6">
      <c r="B7" s="16" t="s">
        <v>251</v>
      </c>
      <c r="C7" s="77" t="s">
        <v>255</v>
      </c>
      <c r="D7" s="295">
        <v>3000000</v>
      </c>
    </row>
    <row r="8" spans="2:6">
      <c r="B8" s="16" t="s">
        <v>252</v>
      </c>
      <c r="C8" s="77" t="s">
        <v>256</v>
      </c>
      <c r="D8" s="295">
        <f>D7+D5</f>
        <v>5823702.4000000004</v>
      </c>
    </row>
    <row r="9" spans="2:6" ht="9.75" customHeight="1">
      <c r="C9" s="94"/>
    </row>
    <row r="10" spans="2:6" ht="18.75" customHeight="1">
      <c r="B10" s="333" t="s">
        <v>1509</v>
      </c>
      <c r="C10" s="333"/>
      <c r="D10" s="333"/>
    </row>
    <row r="11" spans="2:6">
      <c r="B11" s="15" t="s">
        <v>42</v>
      </c>
      <c r="C11" s="15" t="s">
        <v>205</v>
      </c>
      <c r="D11" s="15" t="s">
        <v>1551</v>
      </c>
    </row>
    <row r="12" spans="2:6" ht="9.75" customHeight="1">
      <c r="B12" s="285">
        <v>1</v>
      </c>
      <c r="C12" s="285">
        <v>2</v>
      </c>
      <c r="D12" s="284">
        <v>3</v>
      </c>
    </row>
    <row r="13" spans="2:6" ht="27.6">
      <c r="B13" s="286" t="s">
        <v>1510</v>
      </c>
      <c r="C13" s="287" t="s">
        <v>253</v>
      </c>
      <c r="D13" s="303">
        <v>2939.904</v>
      </c>
    </row>
    <row r="14" spans="2:6" ht="82.8">
      <c r="B14" s="288" t="s">
        <v>1511</v>
      </c>
      <c r="C14" s="287" t="s">
        <v>254</v>
      </c>
      <c r="D14" s="303"/>
    </row>
    <row r="15" spans="2:6">
      <c r="B15" s="291"/>
      <c r="C15" s="292"/>
      <c r="D15" s="293"/>
    </row>
    <row r="16" spans="2:6" ht="15.75" customHeight="1">
      <c r="B16" s="289" t="s">
        <v>259</v>
      </c>
      <c r="C16" s="12"/>
      <c r="D16" s="12"/>
    </row>
    <row r="17" spans="2:9" ht="15.75" customHeight="1">
      <c r="B17" s="289" t="s">
        <v>260</v>
      </c>
      <c r="C17" s="12"/>
      <c r="D17" s="290" t="s">
        <v>1519</v>
      </c>
    </row>
    <row r="18" spans="2:9" ht="9.15" customHeight="1">
      <c r="B18" s="101" t="s">
        <v>258</v>
      </c>
      <c r="C18" s="100"/>
      <c r="D18" s="102" t="s">
        <v>261</v>
      </c>
      <c r="I18" s="96"/>
    </row>
    <row r="19" spans="2:9" ht="4.5" customHeight="1">
      <c r="B19" s="283"/>
      <c r="C19" s="100"/>
      <c r="D19" s="102"/>
      <c r="I19" s="96"/>
    </row>
    <row r="20" spans="2:9" ht="39" customHeight="1">
      <c r="B20" s="297" t="s">
        <v>1517</v>
      </c>
      <c r="C20" s="12"/>
      <c r="D20" s="12" t="s">
        <v>1518</v>
      </c>
      <c r="I20" s="96"/>
    </row>
    <row r="21" spans="2:9" ht="9.15" customHeight="1">
      <c r="B21" s="101" t="s">
        <v>258</v>
      </c>
      <c r="C21" s="100"/>
      <c r="D21" s="102" t="s">
        <v>261</v>
      </c>
    </row>
    <row r="22" spans="2:9" ht="9.15" customHeight="1">
      <c r="B22" s="289"/>
      <c r="C22" s="12"/>
      <c r="D22" s="12"/>
    </row>
    <row r="23" spans="2:9">
      <c r="B23" s="289" t="s">
        <v>262</v>
      </c>
      <c r="C23" s="12"/>
      <c r="D23" s="12" t="s">
        <v>263</v>
      </c>
    </row>
    <row r="24" spans="2:9" ht="7.5" customHeight="1">
      <c r="B24" s="103" t="s">
        <v>264</v>
      </c>
      <c r="C24" s="13"/>
      <c r="D24" s="102" t="s">
        <v>261</v>
      </c>
    </row>
    <row r="25" spans="2:9" ht="6.75" customHeight="1">
      <c r="B25" s="103"/>
      <c r="C25" s="13"/>
      <c r="D25" s="102"/>
    </row>
    <row r="26" spans="2:9">
      <c r="B26" s="300" t="s">
        <v>1523</v>
      </c>
      <c r="C26" s="301"/>
      <c r="D26" s="301"/>
    </row>
    <row r="27" spans="2:9" ht="7.5" customHeight="1">
      <c r="B27" s="104" t="s">
        <v>265</v>
      </c>
      <c r="C27" s="105" t="s">
        <v>1512</v>
      </c>
      <c r="D27" s="102" t="s">
        <v>261</v>
      </c>
    </row>
    <row r="28" spans="2:9" ht="9.75" customHeight="1">
      <c r="B28" s="98" t="s">
        <v>257</v>
      </c>
    </row>
    <row r="29" spans="2:9">
      <c r="B29" s="294" t="s">
        <v>1531</v>
      </c>
    </row>
  </sheetData>
  <mergeCells count="3">
    <mergeCell ref="B1:D1"/>
    <mergeCell ref="B2:D2"/>
    <mergeCell ref="B10:D10"/>
  </mergeCells>
  <pageMargins left="0.70866141732283472"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dimension ref="A1:T40"/>
  <sheetViews>
    <sheetView zoomScale="70" zoomScaleNormal="70" workbookViewId="0">
      <selection activeCell="G5" sqref="G5"/>
    </sheetView>
  </sheetViews>
  <sheetFormatPr defaultRowHeight="14.4"/>
  <cols>
    <col min="1" max="1" width="25.88671875" style="112" customWidth="1"/>
    <col min="2" max="2" width="7.44140625" style="112" customWidth="1"/>
    <col min="3" max="3" width="15" style="112" customWidth="1"/>
    <col min="4" max="4" width="13.88671875" style="113" customWidth="1"/>
    <col min="5" max="5" width="12.6640625" style="112" customWidth="1"/>
    <col min="6" max="6" width="12.44140625" style="112" customWidth="1"/>
    <col min="7" max="7" width="5.5546875" style="112" customWidth="1"/>
    <col min="8" max="8" width="14.88671875" style="113" customWidth="1"/>
    <col min="9" max="9" width="9.44140625" style="112" customWidth="1"/>
    <col min="10" max="10" width="8.44140625" style="112" customWidth="1"/>
    <col min="11" max="11" width="13" style="112" customWidth="1"/>
    <col min="12" max="12" width="13.6640625" style="112" customWidth="1"/>
    <col min="13" max="13" width="7.109375" style="112" customWidth="1"/>
    <col min="14" max="14" width="5.5546875" style="112" customWidth="1"/>
    <col min="15" max="15" width="11.44140625" style="112" customWidth="1"/>
    <col min="16" max="16" width="14.5546875" style="112" customWidth="1"/>
    <col min="17" max="17" width="11.44140625" style="112" customWidth="1"/>
    <col min="18" max="18" width="13" style="112" customWidth="1"/>
    <col min="19" max="20" width="7.88671875" style="112" customWidth="1"/>
  </cols>
  <sheetData>
    <row r="1" spans="1:20" ht="15.6">
      <c r="A1" s="111" t="s">
        <v>341</v>
      </c>
      <c r="F1" s="113" t="s">
        <v>266</v>
      </c>
      <c r="G1" s="113"/>
      <c r="I1" s="113"/>
      <c r="J1" s="113"/>
      <c r="K1" s="113"/>
      <c r="L1" s="113"/>
    </row>
    <row r="2" spans="1:20" ht="15.6">
      <c r="A2" s="111"/>
      <c r="F2" s="122" t="s">
        <v>267</v>
      </c>
      <c r="G2" s="122"/>
      <c r="H2" s="122"/>
      <c r="I2" s="113"/>
      <c r="J2" s="113"/>
      <c r="K2" s="113"/>
      <c r="L2" s="113"/>
    </row>
    <row r="3" spans="1:20">
      <c r="A3" s="114"/>
      <c r="R3" s="112" t="s">
        <v>268</v>
      </c>
    </row>
    <row r="4" spans="1:20">
      <c r="A4" s="339" t="s">
        <v>269</v>
      </c>
      <c r="B4" s="339" t="s">
        <v>270</v>
      </c>
      <c r="C4" s="339" t="s">
        <v>271</v>
      </c>
      <c r="D4" s="339" t="s">
        <v>272</v>
      </c>
      <c r="E4" s="339"/>
      <c r="F4" s="339"/>
      <c r="G4" s="339"/>
      <c r="H4" s="334" t="s">
        <v>273</v>
      </c>
      <c r="I4" s="335"/>
      <c r="J4" s="335"/>
      <c r="K4" s="335"/>
      <c r="L4" s="335"/>
      <c r="M4" s="335"/>
      <c r="N4" s="335"/>
      <c r="O4" s="335"/>
      <c r="P4" s="335"/>
      <c r="Q4" s="335"/>
      <c r="R4" s="335"/>
      <c r="S4" s="335"/>
      <c r="T4" s="336"/>
    </row>
    <row r="5" spans="1:20" s="23" customFormat="1" ht="91.8">
      <c r="A5" s="339"/>
      <c r="B5" s="339"/>
      <c r="C5" s="339"/>
      <c r="D5" s="128" t="s">
        <v>121</v>
      </c>
      <c r="E5" s="129" t="s">
        <v>274</v>
      </c>
      <c r="F5" s="129" t="s">
        <v>275</v>
      </c>
      <c r="G5" s="129" t="s">
        <v>276</v>
      </c>
      <c r="H5" s="128" t="s">
        <v>121</v>
      </c>
      <c r="I5" s="129" t="s">
        <v>277</v>
      </c>
      <c r="J5" s="129" t="s">
        <v>278</v>
      </c>
      <c r="K5" s="130" t="s">
        <v>279</v>
      </c>
      <c r="L5" s="130" t="s">
        <v>280</v>
      </c>
      <c r="M5" s="130" t="s">
        <v>281</v>
      </c>
      <c r="N5" s="130" t="s">
        <v>282</v>
      </c>
      <c r="O5" s="130" t="s">
        <v>283</v>
      </c>
      <c r="P5" s="130" t="s">
        <v>284</v>
      </c>
      <c r="Q5" s="130" t="s">
        <v>858</v>
      </c>
      <c r="R5" s="130" t="s">
        <v>285</v>
      </c>
      <c r="S5" s="130" t="s">
        <v>286</v>
      </c>
      <c r="T5" s="130" t="s">
        <v>287</v>
      </c>
    </row>
    <row r="6" spans="1:20">
      <c r="A6" s="115" t="s">
        <v>288</v>
      </c>
      <c r="B6" s="115" t="s">
        <v>289</v>
      </c>
      <c r="C6" s="115" t="s">
        <v>290</v>
      </c>
      <c r="D6" s="115" t="s">
        <v>291</v>
      </c>
      <c r="E6" s="115" t="s">
        <v>292</v>
      </c>
      <c r="F6" s="115" t="s">
        <v>293</v>
      </c>
      <c r="G6" s="115" t="s">
        <v>294</v>
      </c>
      <c r="H6" s="115" t="s">
        <v>295</v>
      </c>
      <c r="I6" s="115" t="s">
        <v>296</v>
      </c>
      <c r="J6" s="115" t="s">
        <v>297</v>
      </c>
      <c r="K6" s="115" t="s">
        <v>298</v>
      </c>
      <c r="L6" s="115" t="s">
        <v>299</v>
      </c>
      <c r="M6" s="115" t="s">
        <v>300</v>
      </c>
      <c r="N6" s="115" t="s">
        <v>301</v>
      </c>
      <c r="O6" s="115" t="s">
        <v>302</v>
      </c>
      <c r="P6" s="115" t="s">
        <v>303</v>
      </c>
      <c r="Q6" s="115" t="s">
        <v>304</v>
      </c>
      <c r="R6" s="115" t="s">
        <v>305</v>
      </c>
      <c r="S6" s="115" t="s">
        <v>306</v>
      </c>
      <c r="T6" s="115" t="s">
        <v>307</v>
      </c>
    </row>
    <row r="7" spans="1:20" ht="24">
      <c r="A7" s="116" t="s">
        <v>308</v>
      </c>
      <c r="B7" s="117" t="s">
        <v>309</v>
      </c>
      <c r="C7" s="203">
        <f>SUM(D7,H7)</f>
        <v>25566756.41</v>
      </c>
      <c r="D7" s="118">
        <f>SUM(E7:G7)</f>
        <v>15000000</v>
      </c>
      <c r="E7" s="118"/>
      <c r="F7" s="203">
        <v>15000000</v>
      </c>
      <c r="G7" s="120"/>
      <c r="H7" s="120">
        <f>SUM(I7:T7)</f>
        <v>10566756.41</v>
      </c>
      <c r="I7" s="120"/>
      <c r="J7" s="120"/>
      <c r="K7" s="121"/>
      <c r="L7" s="302">
        <f>1621993.76-R7</f>
        <v>1235327.47</v>
      </c>
      <c r="M7" s="121"/>
      <c r="N7" s="121"/>
      <c r="O7" s="121"/>
      <c r="P7" s="302">
        <v>8944762.6500000004</v>
      </c>
      <c r="Q7" s="121"/>
      <c r="R7" s="302">
        <f>166337.34+220328.95</f>
        <v>386666.29000000004</v>
      </c>
      <c r="S7" s="119"/>
      <c r="T7" s="119"/>
    </row>
    <row r="8" spans="1:20">
      <c r="A8" s="116" t="s">
        <v>872</v>
      </c>
      <c r="B8" s="117" t="s">
        <v>871</v>
      </c>
      <c r="C8" s="204">
        <f>SUM(D8,H8)</f>
        <v>0</v>
      </c>
      <c r="D8" s="118"/>
      <c r="E8" s="118"/>
      <c r="F8" s="120"/>
      <c r="G8" s="120"/>
      <c r="H8" s="120">
        <f>SUM(I8:T8)</f>
        <v>0</v>
      </c>
      <c r="I8" s="120"/>
      <c r="J8" s="120"/>
      <c r="K8" s="121"/>
      <c r="L8" s="121"/>
      <c r="M8" s="121"/>
      <c r="N8" s="121"/>
      <c r="O8" s="121"/>
      <c r="P8" s="121"/>
      <c r="Q8" s="121"/>
      <c r="R8" s="121"/>
      <c r="S8" s="119"/>
      <c r="T8" s="119"/>
    </row>
    <row r="9" spans="1:20">
      <c r="A9" s="116" t="s">
        <v>310</v>
      </c>
      <c r="B9" s="117" t="s">
        <v>309</v>
      </c>
      <c r="C9" s="203">
        <f>SUM(D9,H9)</f>
        <v>338387202.31</v>
      </c>
      <c r="D9" s="118">
        <f>SUM(E9:G9)</f>
        <v>17135919</v>
      </c>
      <c r="E9" s="120">
        <f t="shared" ref="E9:T9" si="0">E11</f>
        <v>8845904</v>
      </c>
      <c r="F9" s="120">
        <f>F11-F7</f>
        <v>8290015</v>
      </c>
      <c r="G9" s="120">
        <f t="shared" si="0"/>
        <v>0</v>
      </c>
      <c r="H9" s="120">
        <f>K9+L9+N9+P9+R9+Q9</f>
        <v>321251283.31</v>
      </c>
      <c r="I9" s="120">
        <f t="shared" si="0"/>
        <v>0</v>
      </c>
      <c r="J9" s="120">
        <f t="shared" si="0"/>
        <v>0</v>
      </c>
      <c r="K9" s="120">
        <f>K11-K7</f>
        <v>1402944.96</v>
      </c>
      <c r="L9" s="120">
        <f>22000000</f>
        <v>22000000</v>
      </c>
      <c r="M9" s="120">
        <f t="shared" si="0"/>
        <v>0</v>
      </c>
      <c r="N9" s="120">
        <f t="shared" si="0"/>
        <v>0</v>
      </c>
      <c r="O9" s="120">
        <f t="shared" si="0"/>
        <v>0</v>
      </c>
      <c r="P9" s="120">
        <f>P11-P7-Q8</f>
        <v>295268338.35000002</v>
      </c>
      <c r="Q9" s="120"/>
      <c r="R9" s="120">
        <f>900000+1680000</f>
        <v>2580000</v>
      </c>
      <c r="S9" s="118">
        <f t="shared" si="0"/>
        <v>0</v>
      </c>
      <c r="T9" s="118">
        <f t="shared" si="0"/>
        <v>0</v>
      </c>
    </row>
    <row r="10" spans="1:20" ht="24">
      <c r="A10" s="116" t="s">
        <v>311</v>
      </c>
      <c r="B10" s="117" t="s">
        <v>309</v>
      </c>
      <c r="C10" s="203"/>
      <c r="D10" s="118">
        <f>SUM(E10:G10)</f>
        <v>0</v>
      </c>
      <c r="E10" s="120"/>
      <c r="F10" s="120"/>
      <c r="G10" s="120"/>
      <c r="H10" s="120"/>
      <c r="I10" s="120">
        <v>0</v>
      </c>
      <c r="J10" s="120">
        <f>J7+J9-J11</f>
        <v>0</v>
      </c>
      <c r="K10" s="120">
        <f>K7+K9-K11</f>
        <v>0</v>
      </c>
      <c r="L10" s="120"/>
      <c r="M10" s="120">
        <f t="shared" ref="M10:T10" si="1">M7+M9-M11</f>
        <v>0</v>
      </c>
      <c r="N10" s="120">
        <f t="shared" si="1"/>
        <v>0</v>
      </c>
      <c r="O10" s="120">
        <f t="shared" si="1"/>
        <v>0</v>
      </c>
      <c r="P10" s="120"/>
      <c r="Q10" s="120"/>
      <c r="R10" s="120"/>
      <c r="S10" s="118">
        <f t="shared" si="1"/>
        <v>0</v>
      </c>
      <c r="T10" s="118">
        <f t="shared" si="1"/>
        <v>0</v>
      </c>
    </row>
    <row r="11" spans="1:20">
      <c r="A11" s="116" t="s">
        <v>312</v>
      </c>
      <c r="B11" s="117">
        <v>900</v>
      </c>
      <c r="C11" s="203">
        <f>SUM(D11,H11)</f>
        <v>363953958.72000003</v>
      </c>
      <c r="D11" s="118">
        <f>SUM(E11:G11)</f>
        <v>32135919</v>
      </c>
      <c r="E11" s="120">
        <f>SUM(E13:E31)</f>
        <v>8845904</v>
      </c>
      <c r="F11" s="120">
        <f>SUM(F13:F31)</f>
        <v>23290015</v>
      </c>
      <c r="G11" s="120">
        <f>SUM(G13:G31)</f>
        <v>0</v>
      </c>
      <c r="H11" s="120">
        <f>SUM(H13:H31)</f>
        <v>331818039.72000003</v>
      </c>
      <c r="I11" s="120">
        <f t="shared" ref="I11:T11" si="2">SUM(I13:I31)</f>
        <v>0</v>
      </c>
      <c r="J11" s="120">
        <f t="shared" si="2"/>
        <v>0</v>
      </c>
      <c r="K11" s="120">
        <f t="shared" si="2"/>
        <v>1402944.96</v>
      </c>
      <c r="L11" s="120">
        <f t="shared" si="2"/>
        <v>23235327.469999999</v>
      </c>
      <c r="M11" s="120">
        <f t="shared" si="2"/>
        <v>0</v>
      </c>
      <c r="N11" s="120">
        <f t="shared" si="2"/>
        <v>0</v>
      </c>
      <c r="O11" s="120">
        <f t="shared" si="2"/>
        <v>0</v>
      </c>
      <c r="P11" s="120">
        <f t="shared" si="2"/>
        <v>304213101</v>
      </c>
      <c r="Q11" s="120">
        <f t="shared" si="2"/>
        <v>0</v>
      </c>
      <c r="R11" s="120">
        <f>SUM(R13:R31)</f>
        <v>2966666.2899999996</v>
      </c>
      <c r="S11" s="118">
        <f t="shared" si="2"/>
        <v>0</v>
      </c>
      <c r="T11" s="118">
        <f t="shared" si="2"/>
        <v>0</v>
      </c>
    </row>
    <row r="12" spans="1:20">
      <c r="A12" s="116" t="s">
        <v>313</v>
      </c>
      <c r="B12" s="117"/>
      <c r="C12" s="118"/>
      <c r="D12" s="118"/>
      <c r="E12" s="120"/>
      <c r="F12" s="120"/>
      <c r="G12" s="120"/>
      <c r="H12" s="120">
        <f>SUM(I12:T12)</f>
        <v>0</v>
      </c>
      <c r="I12" s="120"/>
      <c r="J12" s="120"/>
      <c r="K12" s="121"/>
      <c r="L12" s="121"/>
      <c r="M12" s="121"/>
      <c r="N12" s="121"/>
      <c r="O12" s="121"/>
      <c r="P12" s="121"/>
      <c r="Q12" s="121"/>
      <c r="R12" s="121"/>
      <c r="S12" s="119"/>
      <c r="T12" s="119"/>
    </row>
    <row r="13" spans="1:20" s="50" customFormat="1">
      <c r="A13" s="125" t="s">
        <v>314</v>
      </c>
      <c r="B13" s="126">
        <v>211</v>
      </c>
      <c r="C13" s="203">
        <f t="shared" ref="C13:C31" si="3">SUM(D13,H13)</f>
        <v>174817864.37</v>
      </c>
      <c r="D13" s="120">
        <f t="shared" ref="D13:D31" si="4">SUM(E13:G13)</f>
        <v>5653928.0700000003</v>
      </c>
      <c r="E13" s="120">
        <f>5573928.07+80000</f>
        <v>5653928.0700000003</v>
      </c>
      <c r="F13" s="120">
        <v>0</v>
      </c>
      <c r="G13" s="120"/>
      <c r="H13" s="120">
        <f t="shared" ref="H13:H31" si="5">SUM(I13:T13)</f>
        <v>169163936.30000001</v>
      </c>
      <c r="I13" s="120">
        <v>0</v>
      </c>
      <c r="J13" s="120"/>
      <c r="K13" s="121"/>
      <c r="L13" s="121">
        <f>8046385.5</f>
        <v>8046385.5</v>
      </c>
      <c r="M13" s="121"/>
      <c r="N13" s="121"/>
      <c r="O13" s="121">
        <v>0</v>
      </c>
      <c r="P13" s="121">
        <f>160096816</f>
        <v>160096816</v>
      </c>
      <c r="Q13" s="121"/>
      <c r="R13" s="121">
        <f>1020734.8</f>
        <v>1020734.8</v>
      </c>
      <c r="S13" s="121"/>
      <c r="T13" s="121"/>
    </row>
    <row r="14" spans="1:20" s="50" customFormat="1">
      <c r="A14" s="125" t="s">
        <v>315</v>
      </c>
      <c r="B14" s="126">
        <v>212</v>
      </c>
      <c r="C14" s="203">
        <f t="shared" si="3"/>
        <v>530000</v>
      </c>
      <c r="D14" s="120">
        <f t="shared" si="4"/>
        <v>10000</v>
      </c>
      <c r="E14" s="120">
        <v>10000</v>
      </c>
      <c r="F14" s="120"/>
      <c r="G14" s="120"/>
      <c r="H14" s="120">
        <f t="shared" si="5"/>
        <v>520000</v>
      </c>
      <c r="I14" s="120"/>
      <c r="J14" s="120"/>
      <c r="K14" s="121"/>
      <c r="L14" s="121">
        <v>100000</v>
      </c>
      <c r="M14" s="121"/>
      <c r="N14" s="121"/>
      <c r="O14" s="121"/>
      <c r="P14" s="121">
        <f>420000</f>
        <v>420000</v>
      </c>
      <c r="Q14" s="121"/>
      <c r="R14" s="121"/>
      <c r="S14" s="121"/>
      <c r="T14" s="121"/>
    </row>
    <row r="15" spans="1:20" s="50" customFormat="1" ht="24">
      <c r="A15" s="125" t="s">
        <v>316</v>
      </c>
      <c r="B15" s="126">
        <v>213</v>
      </c>
      <c r="C15" s="203">
        <f t="shared" si="3"/>
        <v>52273606.960000001</v>
      </c>
      <c r="D15" s="120">
        <f t="shared" si="4"/>
        <v>1690524.5</v>
      </c>
      <c r="E15" s="120">
        <v>1690524.5</v>
      </c>
      <c r="F15" s="120">
        <v>0</v>
      </c>
      <c r="G15" s="120"/>
      <c r="H15" s="120">
        <f>SUM(I15:T15)-Q15</f>
        <v>50583082.460000001</v>
      </c>
      <c r="I15" s="120">
        <v>0</v>
      </c>
      <c r="J15" s="120" t="s">
        <v>317</v>
      </c>
      <c r="K15" s="121"/>
      <c r="L15" s="121">
        <f>2405869.26</f>
        <v>2405869.2599999998</v>
      </c>
      <c r="M15" s="121"/>
      <c r="N15" s="121"/>
      <c r="O15" s="121">
        <v>0</v>
      </c>
      <c r="P15" s="121">
        <f>47868948</f>
        <v>47868948</v>
      </c>
      <c r="Q15" s="121"/>
      <c r="R15" s="121">
        <f>308265.2</f>
        <v>308265.2</v>
      </c>
      <c r="S15" s="121"/>
      <c r="T15" s="121"/>
    </row>
    <row r="16" spans="1:20" s="50" customFormat="1">
      <c r="A16" s="125" t="s">
        <v>318</v>
      </c>
      <c r="B16" s="126">
        <v>221</v>
      </c>
      <c r="C16" s="203">
        <f t="shared" si="3"/>
        <v>1475000</v>
      </c>
      <c r="D16" s="120">
        <f t="shared" si="4"/>
        <v>25000</v>
      </c>
      <c r="E16" s="120">
        <v>25000</v>
      </c>
      <c r="F16" s="120"/>
      <c r="G16" s="120"/>
      <c r="H16" s="120">
        <f t="shared" si="5"/>
        <v>1450000</v>
      </c>
      <c r="I16" s="120"/>
      <c r="J16" s="120"/>
      <c r="K16" s="121"/>
      <c r="L16" s="121">
        <f>10000-10000</f>
        <v>0</v>
      </c>
      <c r="M16" s="121"/>
      <c r="N16" s="121"/>
      <c r="O16" s="121"/>
      <c r="P16" s="121">
        <f>1450000</f>
        <v>1450000</v>
      </c>
      <c r="Q16" s="121"/>
      <c r="R16" s="121"/>
      <c r="S16" s="121"/>
      <c r="T16" s="121"/>
    </row>
    <row r="17" spans="1:20" s="50" customFormat="1">
      <c r="A17" s="125" t="s">
        <v>319</v>
      </c>
      <c r="B17" s="126">
        <v>222</v>
      </c>
      <c r="C17" s="203">
        <f t="shared" si="3"/>
        <v>0</v>
      </c>
      <c r="D17" s="120">
        <f t="shared" si="4"/>
        <v>0</v>
      </c>
      <c r="E17" s="120">
        <f>3255-3255</f>
        <v>0</v>
      </c>
      <c r="F17" s="120"/>
      <c r="G17" s="120"/>
      <c r="H17" s="120">
        <f t="shared" si="5"/>
        <v>0</v>
      </c>
      <c r="I17" s="120"/>
      <c r="J17" s="120"/>
      <c r="K17" s="121"/>
      <c r="L17" s="121">
        <v>0</v>
      </c>
      <c r="M17" s="121"/>
      <c r="N17" s="121"/>
      <c r="O17" s="121"/>
      <c r="P17" s="121"/>
      <c r="Q17" s="121"/>
      <c r="R17" s="121"/>
      <c r="S17" s="121"/>
      <c r="T17" s="121"/>
    </row>
    <row r="18" spans="1:20" s="50" customFormat="1">
      <c r="A18" s="125" t="s">
        <v>320</v>
      </c>
      <c r="B18" s="126">
        <v>223</v>
      </c>
      <c r="C18" s="203">
        <f t="shared" si="3"/>
        <v>26653814</v>
      </c>
      <c r="D18" s="120">
        <f t="shared" si="4"/>
        <v>800000</v>
      </c>
      <c r="E18" s="120">
        <f>800000</f>
        <v>800000</v>
      </c>
      <c r="F18" s="120"/>
      <c r="G18" s="120"/>
      <c r="H18" s="120">
        <f t="shared" si="5"/>
        <v>25853814</v>
      </c>
      <c r="I18" s="120"/>
      <c r="J18" s="120" t="s">
        <v>321</v>
      </c>
      <c r="K18" s="121"/>
      <c r="L18" s="121">
        <f>3853814</f>
        <v>3853814</v>
      </c>
      <c r="M18" s="121"/>
      <c r="N18" s="121"/>
      <c r="O18" s="121"/>
      <c r="P18" s="121">
        <f>22000000</f>
        <v>22000000</v>
      </c>
      <c r="Q18" s="121"/>
      <c r="R18" s="121"/>
      <c r="S18" s="121"/>
      <c r="T18" s="121"/>
    </row>
    <row r="19" spans="1:20" s="50" customFormat="1" ht="24">
      <c r="A19" s="125" t="s">
        <v>322</v>
      </c>
      <c r="B19" s="126">
        <v>224</v>
      </c>
      <c r="C19" s="203">
        <f t="shared" si="3"/>
        <v>1120000</v>
      </c>
      <c r="D19" s="120">
        <f t="shared" si="4"/>
        <v>0</v>
      </c>
      <c r="E19" s="120">
        <v>0</v>
      </c>
      <c r="F19" s="120"/>
      <c r="G19" s="120"/>
      <c r="H19" s="120">
        <f t="shared" si="5"/>
        <v>1120000</v>
      </c>
      <c r="I19" s="120"/>
      <c r="J19" s="120"/>
      <c r="K19" s="121">
        <f>0</f>
        <v>0</v>
      </c>
      <c r="L19" s="121">
        <v>0</v>
      </c>
      <c r="M19" s="121"/>
      <c r="N19" s="121"/>
      <c r="O19" s="121"/>
      <c r="P19" s="121">
        <v>1120000</v>
      </c>
      <c r="Q19" s="121"/>
      <c r="R19" s="121"/>
      <c r="S19" s="121"/>
      <c r="T19" s="121"/>
    </row>
    <row r="20" spans="1:20" s="50" customFormat="1" ht="24">
      <c r="A20" s="125" t="s">
        <v>323</v>
      </c>
      <c r="B20" s="126">
        <v>225</v>
      </c>
      <c r="C20" s="203">
        <f t="shared" si="3"/>
        <v>8720015</v>
      </c>
      <c r="D20" s="120">
        <f t="shared" si="4"/>
        <v>3320015</v>
      </c>
      <c r="E20" s="120">
        <f>100000</f>
        <v>100000</v>
      </c>
      <c r="F20" s="120">
        <f>2710000+362015+148000</f>
        <v>3220015</v>
      </c>
      <c r="G20" s="120"/>
      <c r="H20" s="120">
        <f t="shared" si="5"/>
        <v>5400000</v>
      </c>
      <c r="I20" s="120"/>
      <c r="J20" s="120"/>
      <c r="K20" s="121"/>
      <c r="L20" s="121">
        <f>1200000</f>
        <v>1200000</v>
      </c>
      <c r="M20" s="121"/>
      <c r="N20" s="121"/>
      <c r="O20" s="121"/>
      <c r="P20" s="121">
        <f>4200000</f>
        <v>4200000</v>
      </c>
      <c r="Q20" s="121"/>
      <c r="R20" s="121"/>
      <c r="S20" s="121"/>
      <c r="T20" s="121"/>
    </row>
    <row r="21" spans="1:20" s="50" customFormat="1">
      <c r="A21" s="125" t="s">
        <v>324</v>
      </c>
      <c r="B21" s="126">
        <v>226</v>
      </c>
      <c r="C21" s="203">
        <f t="shared" si="3"/>
        <v>8120200</v>
      </c>
      <c r="D21" s="120">
        <f t="shared" si="4"/>
        <v>100000</v>
      </c>
      <c r="E21" s="120">
        <f>100000</f>
        <v>100000</v>
      </c>
      <c r="F21" s="120"/>
      <c r="G21" s="120"/>
      <c r="H21" s="120">
        <f t="shared" si="5"/>
        <v>8020200</v>
      </c>
      <c r="I21" s="120">
        <v>0</v>
      </c>
      <c r="J21" s="120"/>
      <c r="K21" s="121"/>
      <c r="L21" s="121">
        <f>1200000</f>
        <v>1200000</v>
      </c>
      <c r="M21" s="121"/>
      <c r="N21" s="121"/>
      <c r="O21" s="121"/>
      <c r="P21" s="121">
        <v>6786600</v>
      </c>
      <c r="Q21" s="121"/>
      <c r="R21" s="121">
        <v>33600</v>
      </c>
      <c r="S21" s="121"/>
      <c r="T21" s="121"/>
    </row>
    <row r="22" spans="1:20" s="50" customFormat="1" ht="36">
      <c r="A22" s="125" t="s">
        <v>325</v>
      </c>
      <c r="B22" s="126">
        <v>241</v>
      </c>
      <c r="C22" s="203">
        <f t="shared" si="3"/>
        <v>0</v>
      </c>
      <c r="D22" s="120">
        <f t="shared" si="4"/>
        <v>0</v>
      </c>
      <c r="E22" s="120"/>
      <c r="F22" s="120"/>
      <c r="G22" s="120"/>
      <c r="H22" s="120">
        <f t="shared" si="5"/>
        <v>0</v>
      </c>
      <c r="I22" s="120"/>
      <c r="J22" s="120"/>
      <c r="K22" s="121"/>
      <c r="L22" s="121"/>
      <c r="M22" s="121"/>
      <c r="N22" s="121"/>
      <c r="O22" s="121"/>
      <c r="P22" s="121"/>
      <c r="Q22" s="121"/>
      <c r="R22" s="121"/>
      <c r="S22" s="121"/>
      <c r="T22" s="121"/>
    </row>
    <row r="23" spans="1:20" s="50" customFormat="1" ht="24">
      <c r="A23" s="125" t="s">
        <v>326</v>
      </c>
      <c r="B23" s="126">
        <v>262</v>
      </c>
      <c r="C23" s="203">
        <f t="shared" si="3"/>
        <v>0</v>
      </c>
      <c r="D23" s="120">
        <f t="shared" si="4"/>
        <v>0</v>
      </c>
      <c r="E23" s="120"/>
      <c r="F23" s="120"/>
      <c r="G23" s="120"/>
      <c r="H23" s="120">
        <f t="shared" si="5"/>
        <v>0</v>
      </c>
      <c r="I23" s="120"/>
      <c r="J23" s="120"/>
      <c r="K23" s="121"/>
      <c r="L23" s="121"/>
      <c r="M23" s="121"/>
      <c r="N23" s="121"/>
      <c r="O23" s="121"/>
      <c r="P23" s="121"/>
      <c r="Q23" s="121"/>
      <c r="R23" s="121"/>
      <c r="S23" s="121"/>
      <c r="T23" s="121"/>
    </row>
    <row r="24" spans="1:20" s="50" customFormat="1" ht="24">
      <c r="A24" s="125" t="s">
        <v>327</v>
      </c>
      <c r="B24" s="126">
        <v>263</v>
      </c>
      <c r="C24" s="203">
        <f t="shared" si="3"/>
        <v>0</v>
      </c>
      <c r="D24" s="120">
        <f t="shared" si="4"/>
        <v>0</v>
      </c>
      <c r="E24" s="120"/>
      <c r="F24" s="120"/>
      <c r="G24" s="120"/>
      <c r="H24" s="120">
        <f t="shared" si="5"/>
        <v>0</v>
      </c>
      <c r="I24" s="120"/>
      <c r="J24" s="120"/>
      <c r="K24" s="121"/>
      <c r="L24" s="121"/>
      <c r="M24" s="121"/>
      <c r="N24" s="121"/>
      <c r="O24" s="121"/>
      <c r="P24" s="121"/>
      <c r="Q24" s="121"/>
      <c r="R24" s="121"/>
      <c r="S24" s="121"/>
      <c r="T24" s="121"/>
    </row>
    <row r="25" spans="1:20" s="50" customFormat="1">
      <c r="A25" s="125" t="s">
        <v>328</v>
      </c>
      <c r="B25" s="126">
        <v>290</v>
      </c>
      <c r="C25" s="203">
        <f t="shared" si="3"/>
        <v>1480000</v>
      </c>
      <c r="D25" s="120">
        <f t="shared" si="4"/>
        <v>0</v>
      </c>
      <c r="E25" s="120">
        <v>0</v>
      </c>
      <c r="F25" s="120"/>
      <c r="G25" s="120"/>
      <c r="H25" s="120">
        <f t="shared" si="5"/>
        <v>1480000</v>
      </c>
      <c r="I25" s="120"/>
      <c r="J25" s="120"/>
      <c r="K25" s="121"/>
      <c r="L25" s="121">
        <f>500000-K25</f>
        <v>500000</v>
      </c>
      <c r="M25" s="121"/>
      <c r="N25" s="121"/>
      <c r="O25" s="121"/>
      <c r="P25" s="121">
        <f>980000</f>
        <v>980000</v>
      </c>
      <c r="Q25" s="121"/>
      <c r="R25" s="121"/>
      <c r="S25" s="121"/>
      <c r="T25" s="121"/>
    </row>
    <row r="26" spans="1:20" s="127" customFormat="1" ht="24">
      <c r="A26" s="125" t="s">
        <v>329</v>
      </c>
      <c r="B26" s="126">
        <v>310</v>
      </c>
      <c r="C26" s="203">
        <f t="shared" si="3"/>
        <v>21941422.890000001</v>
      </c>
      <c r="D26" s="120">
        <f t="shared" si="4"/>
        <v>18370000</v>
      </c>
      <c r="E26" s="120">
        <f>0</f>
        <v>0</v>
      </c>
      <c r="F26" s="120">
        <f>15000000+3370000</f>
        <v>18370000</v>
      </c>
      <c r="G26" s="120"/>
      <c r="H26" s="120">
        <f t="shared" si="5"/>
        <v>3571422.8899999997</v>
      </c>
      <c r="I26" s="120"/>
      <c r="J26" s="120"/>
      <c r="K26" s="121">
        <f>1000000</f>
        <v>1000000</v>
      </c>
      <c r="L26" s="121">
        <f>2941422.89-K26-R26</f>
        <v>1000000.0000000002</v>
      </c>
      <c r="M26" s="121"/>
      <c r="N26" s="121"/>
      <c r="O26" s="121"/>
      <c r="P26" s="121">
        <f>630000</f>
        <v>630000</v>
      </c>
      <c r="Q26" s="121"/>
      <c r="R26" s="121">
        <f>572000+149093.94+220328.95</f>
        <v>941422.8899999999</v>
      </c>
      <c r="S26" s="121"/>
      <c r="T26" s="121"/>
    </row>
    <row r="27" spans="1:20" s="127" customFormat="1" ht="24">
      <c r="A27" s="125" t="s">
        <v>330</v>
      </c>
      <c r="B27" s="126">
        <v>320</v>
      </c>
      <c r="C27" s="203">
        <f t="shared" si="3"/>
        <v>0</v>
      </c>
      <c r="D27" s="120">
        <f t="shared" si="4"/>
        <v>0</v>
      </c>
      <c r="E27" s="120"/>
      <c r="F27" s="120"/>
      <c r="G27" s="120"/>
      <c r="H27" s="120">
        <f t="shared" si="5"/>
        <v>0</v>
      </c>
      <c r="I27" s="120"/>
      <c r="J27" s="120"/>
      <c r="K27" s="121"/>
      <c r="L27" s="121"/>
      <c r="M27" s="121"/>
      <c r="N27" s="121"/>
      <c r="O27" s="121"/>
      <c r="P27" s="121"/>
      <c r="Q27" s="121"/>
      <c r="R27" s="121"/>
      <c r="S27" s="121"/>
      <c r="T27" s="121"/>
    </row>
    <row r="28" spans="1:20" s="127" customFormat="1" ht="24">
      <c r="A28" s="125" t="s">
        <v>331</v>
      </c>
      <c r="B28" s="126">
        <v>330</v>
      </c>
      <c r="C28" s="203">
        <f t="shared" si="3"/>
        <v>0</v>
      </c>
      <c r="D28" s="120">
        <f t="shared" si="4"/>
        <v>0</v>
      </c>
      <c r="E28" s="120"/>
      <c r="F28" s="120"/>
      <c r="G28" s="120"/>
      <c r="H28" s="120">
        <f t="shared" si="5"/>
        <v>0</v>
      </c>
      <c r="I28" s="120"/>
      <c r="J28" s="120"/>
      <c r="K28" s="121"/>
      <c r="L28" s="121"/>
      <c r="M28" s="121"/>
      <c r="N28" s="121"/>
      <c r="O28" s="121"/>
      <c r="P28" s="121"/>
      <c r="Q28" s="121"/>
      <c r="R28" s="121"/>
      <c r="S28" s="121"/>
      <c r="T28" s="121"/>
    </row>
    <row r="29" spans="1:20" s="127" customFormat="1" ht="24">
      <c r="A29" s="125" t="s">
        <v>332</v>
      </c>
      <c r="B29" s="126">
        <v>340</v>
      </c>
      <c r="C29" s="203">
        <f t="shared" si="3"/>
        <v>66822035.5</v>
      </c>
      <c r="D29" s="120">
        <f t="shared" si="4"/>
        <v>2166451.4300000002</v>
      </c>
      <c r="E29" s="120">
        <f>466451.43</f>
        <v>466451.43</v>
      </c>
      <c r="F29" s="120">
        <f>1700000</f>
        <v>1700000</v>
      </c>
      <c r="G29" s="120"/>
      <c r="H29" s="120">
        <f t="shared" si="5"/>
        <v>64655584.07</v>
      </c>
      <c r="I29" s="120"/>
      <c r="J29" s="120"/>
      <c r="K29" s="121">
        <f>402944.96</f>
        <v>402944.96</v>
      </c>
      <c r="L29" s="121">
        <f>5900000+94847.07-K29-R29</f>
        <v>4929258.71</v>
      </c>
      <c r="M29" s="121"/>
      <c r="N29" s="121">
        <v>0</v>
      </c>
      <c r="O29" s="121">
        <v>0</v>
      </c>
      <c r="P29" s="121">
        <f>58660737</f>
        <v>58660737</v>
      </c>
      <c r="Q29" s="121"/>
      <c r="R29" s="121">
        <f>487400+158000+17243.4</f>
        <v>662643.4</v>
      </c>
      <c r="S29" s="121"/>
      <c r="T29" s="121"/>
    </row>
    <row r="30" spans="1:20" s="50" customFormat="1" ht="36">
      <c r="A30" s="125" t="s">
        <v>333</v>
      </c>
      <c r="B30" s="126">
        <v>520</v>
      </c>
      <c r="C30" s="203">
        <f t="shared" si="3"/>
        <v>0</v>
      </c>
      <c r="D30" s="120">
        <f t="shared" si="4"/>
        <v>0</v>
      </c>
      <c r="E30" s="120"/>
      <c r="F30" s="120"/>
      <c r="G30" s="120"/>
      <c r="H30" s="120">
        <f t="shared" si="5"/>
        <v>0</v>
      </c>
      <c r="I30" s="120"/>
      <c r="J30" s="120"/>
      <c r="K30" s="121"/>
      <c r="L30" s="121"/>
      <c r="M30" s="121"/>
      <c r="N30" s="121"/>
      <c r="O30" s="121"/>
      <c r="P30" s="121"/>
      <c r="Q30" s="121"/>
      <c r="R30" s="121"/>
      <c r="S30" s="121"/>
      <c r="T30" s="121"/>
    </row>
    <row r="31" spans="1:20" s="50" customFormat="1" ht="24">
      <c r="A31" s="125" t="s">
        <v>334</v>
      </c>
      <c r="B31" s="126">
        <v>530</v>
      </c>
      <c r="C31" s="203">
        <f t="shared" si="3"/>
        <v>0</v>
      </c>
      <c r="D31" s="120">
        <f t="shared" si="4"/>
        <v>0</v>
      </c>
      <c r="E31" s="120"/>
      <c r="F31" s="120"/>
      <c r="G31" s="120"/>
      <c r="H31" s="120">
        <f t="shared" si="5"/>
        <v>0</v>
      </c>
      <c r="I31" s="120"/>
      <c r="J31" s="120"/>
      <c r="K31" s="121"/>
      <c r="L31" s="121"/>
      <c r="M31" s="121"/>
      <c r="N31" s="121"/>
      <c r="O31" s="121"/>
      <c r="P31" s="121"/>
      <c r="Q31" s="121"/>
      <c r="R31" s="121"/>
      <c r="S31" s="121"/>
      <c r="T31" s="121"/>
    </row>
    <row r="33" spans="1:20" ht="15.6">
      <c r="A33" s="99" t="s">
        <v>259</v>
      </c>
      <c r="C33" s="112" t="s">
        <v>335</v>
      </c>
      <c r="D33" s="338" t="s">
        <v>1520</v>
      </c>
      <c r="E33" s="338"/>
    </row>
    <row r="34" spans="1:20" s="132" customFormat="1" ht="8.4">
      <c r="A34" s="122"/>
      <c r="B34" s="122"/>
      <c r="C34" s="122" t="s">
        <v>336</v>
      </c>
      <c r="D34" s="337" t="s">
        <v>337</v>
      </c>
      <c r="E34" s="337"/>
      <c r="F34" s="122"/>
      <c r="G34" s="122"/>
      <c r="H34" s="131"/>
      <c r="I34" s="122"/>
      <c r="J34" s="122"/>
      <c r="K34" s="122"/>
      <c r="L34" s="122"/>
      <c r="M34" s="122"/>
      <c r="N34" s="122"/>
      <c r="O34" s="122"/>
      <c r="P34" s="122"/>
      <c r="Q34" s="122"/>
      <c r="R34" s="122"/>
      <c r="S34" s="122"/>
      <c r="T34" s="122"/>
    </row>
    <row r="35" spans="1:20" ht="15.6">
      <c r="A35" s="99" t="s">
        <v>1515</v>
      </c>
      <c r="C35" s="112" t="s">
        <v>335</v>
      </c>
      <c r="D35" s="338" t="s">
        <v>1516</v>
      </c>
      <c r="E35" s="338"/>
    </row>
    <row r="36" spans="1:20" s="132" customFormat="1" ht="8.4">
      <c r="A36" s="122"/>
      <c r="B36" s="122"/>
      <c r="C36" s="122" t="s">
        <v>336</v>
      </c>
      <c r="D36" s="337" t="s">
        <v>337</v>
      </c>
      <c r="E36" s="337"/>
      <c r="F36" s="122"/>
      <c r="G36" s="122"/>
      <c r="H36" s="131"/>
      <c r="I36" s="122"/>
      <c r="J36" s="122"/>
      <c r="K36" s="122"/>
      <c r="L36" s="122"/>
      <c r="M36" s="122"/>
      <c r="N36" s="122"/>
      <c r="O36" s="122"/>
      <c r="P36" s="122"/>
      <c r="Q36" s="122"/>
      <c r="R36" s="122"/>
      <c r="S36" s="122"/>
      <c r="T36" s="122"/>
    </row>
    <row r="37" spans="1:20" ht="15.6">
      <c r="A37" s="99" t="s">
        <v>338</v>
      </c>
      <c r="C37" s="112" t="s">
        <v>335</v>
      </c>
      <c r="D37" s="338" t="s">
        <v>339</v>
      </c>
      <c r="E37" s="338"/>
      <c r="F37" s="296" t="s">
        <v>1532</v>
      </c>
    </row>
    <row r="38" spans="1:20" s="132" customFormat="1" ht="8.4">
      <c r="A38" s="122" t="s">
        <v>340</v>
      </c>
      <c r="B38" s="122"/>
      <c r="C38" s="122" t="s">
        <v>336</v>
      </c>
      <c r="D38" s="337" t="s">
        <v>337</v>
      </c>
      <c r="E38" s="337"/>
      <c r="F38" s="122"/>
      <c r="G38" s="122"/>
      <c r="H38" s="131"/>
      <c r="I38" s="122"/>
      <c r="J38" s="122"/>
      <c r="K38" s="122"/>
      <c r="L38" s="122"/>
      <c r="M38" s="122"/>
      <c r="N38" s="122"/>
      <c r="O38" s="122"/>
      <c r="P38" s="122"/>
      <c r="Q38" s="122"/>
      <c r="R38" s="122"/>
      <c r="S38" s="122"/>
      <c r="T38" s="122"/>
    </row>
    <row r="39" spans="1:20">
      <c r="D39" s="112"/>
    </row>
    <row r="40" spans="1:20" ht="15.6">
      <c r="A40" s="99"/>
    </row>
  </sheetData>
  <mergeCells count="11">
    <mergeCell ref="A4:A5"/>
    <mergeCell ref="B4:B5"/>
    <mergeCell ref="C4:C5"/>
    <mergeCell ref="D4:G4"/>
    <mergeCell ref="D38:E38"/>
    <mergeCell ref="H4:T4"/>
    <mergeCell ref="D34:E34"/>
    <mergeCell ref="D35:E35"/>
    <mergeCell ref="D36:E36"/>
    <mergeCell ref="D37:E37"/>
    <mergeCell ref="D33:E33"/>
  </mergeCells>
  <pageMargins left="0" right="0" top="0.74803149606299213" bottom="0.74803149606299213" header="0.31496062992125984" footer="0.31496062992125984"/>
  <pageSetup paperSize="9"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13</vt:i4>
      </vt:variant>
    </vt:vector>
  </HeadingPairs>
  <TitlesOfParts>
    <vt:vector size="13" baseType="lpstr">
      <vt:lpstr>Платные 1.1; 1.2</vt:lpstr>
      <vt:lpstr>Платные остальное</vt:lpstr>
      <vt:lpstr>Бюджет 1.1; 1.2</vt:lpstr>
      <vt:lpstr>Бюджет остальное</vt:lpstr>
      <vt:lpstr>ОМС 1.1; 1.2</vt:lpstr>
      <vt:lpstr>ОМС остальное</vt:lpstr>
      <vt:lpstr>Выпл.на закупку п.III.I</vt:lpstr>
      <vt:lpstr>4-5 Раздел (Врем.распоряжение)</vt:lpstr>
      <vt:lpstr>Детализированная</vt:lpstr>
      <vt:lpstr>Показ-ли по пост.и выплат пIII</vt:lpstr>
      <vt:lpstr>План ФХД 01.01.19</vt:lpstr>
      <vt:lpstr>Перечень платных услуг</vt:lpstr>
      <vt:lpstr>Лист1</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User135</dc:creator>
  <cp:lastModifiedBy>User130</cp:lastModifiedBy>
  <cp:lastPrinted>2019-02-01T05:44:16Z</cp:lastPrinted>
  <dcterms:created xsi:type="dcterms:W3CDTF">2017-01-06T05:21:02Z</dcterms:created>
  <dcterms:modified xsi:type="dcterms:W3CDTF">2019-03-26T01:42:06Z</dcterms:modified>
</cp:coreProperties>
</file>